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7"/>
  <workbookPr/>
  <mc:AlternateContent xmlns:mc="http://schemas.openxmlformats.org/markup-compatibility/2006">
    <mc:Choice Requires="x15">
      <x15ac:absPath xmlns:x15ac="http://schemas.microsoft.com/office/spreadsheetml/2010/11/ac" url="/Users/octaviomora/Desktop/PAST SEMESTERS/SPRING 2024 SEMESTER/VAL &amp; FNCE/VAL FINAL PROJECT/MAKEUP/"/>
    </mc:Choice>
  </mc:AlternateContent>
  <xr:revisionPtr revIDLastSave="0" documentId="13_ncr:1_{7AD3F9CF-057F-444B-A8DA-BCC11979DD01}" xr6:coauthVersionLast="47" xr6:coauthVersionMax="47" xr10:uidLastSave="{00000000-0000-0000-0000-000000000000}"/>
  <bookViews>
    <workbookView xWindow="0" yWindow="500" windowWidth="28800" windowHeight="16300" activeTab="2" xr2:uid="{D8E86035-9E48-4281-8F74-931153790EC7}"/>
  </bookViews>
  <sheets>
    <sheet name="CMG_Chart" sheetId="19" r:id="rId1"/>
    <sheet name="CMG_Comps" sheetId="3" r:id="rId2"/>
    <sheet name="CMG_Comps (2)" sheetId="21" r:id="rId3"/>
    <sheet name="Possible_Comps" sheetId="1" r:id="rId4"/>
    <sheet name="Selecting_Comps" sheetId="2" r:id="rId5"/>
    <sheet name="CMG_DCF" sheetId="4" r:id="rId6"/>
    <sheet name="CMG_IS" sheetId="5" r:id="rId7"/>
    <sheet name="CMG_BS" sheetId="6" r:id="rId8"/>
    <sheet name="CMG_CFS" sheetId="7" r:id="rId9"/>
    <sheet name="Option_Value" sheetId="8" r:id="rId10"/>
    <sheet name="CMG_LTM" sheetId="13" r:id="rId11"/>
    <sheet name="CAVA_LTM" sheetId="9" r:id="rId12"/>
    <sheet name="SHAK_LTM" sheetId="11" r:id="rId13"/>
    <sheet name="YUM_LTM" sheetId="12" r:id="rId14"/>
    <sheet name="SG_LTM" sheetId="10" r:id="rId15"/>
  </sheet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0" i="3" l="1"/>
  <c r="N20" i="3"/>
  <c r="P20" i="3"/>
  <c r="O20" i="3"/>
  <c r="H6" i="9"/>
  <c r="C8" i="11"/>
  <c r="H8" i="11"/>
  <c r="N12" i="21"/>
  <c r="P11" i="21"/>
  <c r="P12" i="21"/>
  <c r="P13" i="21"/>
  <c r="P14" i="21"/>
  <c r="P10" i="21"/>
  <c r="D10" i="21"/>
  <c r="D11" i="21"/>
  <c r="D12" i="21"/>
  <c r="D13" i="21"/>
  <c r="D14" i="21"/>
  <c r="Q14" i="21"/>
  <c r="Q13" i="21"/>
  <c r="Q12" i="21"/>
  <c r="Q11" i="21"/>
  <c r="Q10" i="21"/>
  <c r="Q14" i="3"/>
  <c r="Q13" i="3"/>
  <c r="Q12" i="3"/>
  <c r="Q11" i="3"/>
  <c r="Q10" i="3"/>
  <c r="G26" i="21"/>
  <c r="F26" i="21" s="1"/>
  <c r="G28" i="21"/>
  <c r="F28" i="21" s="1"/>
  <c r="G29" i="21"/>
  <c r="F29" i="21" s="1"/>
  <c r="G30" i="21"/>
  <c r="F30" i="21" s="1"/>
  <c r="G31" i="21"/>
  <c r="F31" i="21" s="1"/>
  <c r="F36" i="21"/>
  <c r="F37" i="21"/>
  <c r="N10" i="21"/>
  <c r="O10" i="21"/>
  <c r="N11" i="21"/>
  <c r="O11" i="21"/>
  <c r="O12" i="21"/>
  <c r="N13" i="21"/>
  <c r="O13" i="21"/>
  <c r="N14" i="21"/>
  <c r="O14" i="21"/>
  <c r="P20" i="21"/>
  <c r="N19" i="21"/>
  <c r="O19" i="21"/>
  <c r="P19" i="21"/>
  <c r="Q19" i="21"/>
  <c r="N20" i="21"/>
  <c r="O20" i="21"/>
  <c r="Q20" i="21"/>
  <c r="N21" i="21" a="1"/>
  <c r="N21" i="21" s="1"/>
  <c r="O21" i="21" a="1"/>
  <c r="O21" i="21" s="1"/>
  <c r="P21" i="21" a="1"/>
  <c r="P21" i="21" s="1"/>
  <c r="Q21" i="21" a="1"/>
  <c r="Q21" i="21" s="1"/>
  <c r="N22" i="21"/>
  <c r="O22" i="21"/>
  <c r="Q22" i="21"/>
  <c r="D26" i="21"/>
  <c r="D28" i="21"/>
  <c r="D29" i="21"/>
  <c r="D30" i="21"/>
  <c r="D31" i="21"/>
  <c r="D32" i="21"/>
  <c r="D33" i="21"/>
  <c r="D34" i="21"/>
  <c r="D35" i="21"/>
  <c r="D36" i="21"/>
  <c r="D37" i="21"/>
  <c r="G10" i="21"/>
  <c r="G11" i="21"/>
  <c r="G12" i="21"/>
  <c r="G13" i="21"/>
  <c r="G14" i="21"/>
  <c r="P22" i="21" l="1"/>
  <c r="J13" i="21" a="1"/>
  <c r="J14" i="21" a="1"/>
  <c r="J12" i="21" a="1"/>
  <c r="H13" i="21" a="1"/>
  <c r="J10" i="21" a="1"/>
  <c r="H12" i="21" a="1"/>
  <c r="H14" i="21" a="1"/>
  <c r="H10" i="21" a="1"/>
  <c r="H11" i="21" a="1"/>
  <c r="I10" i="21" a="1"/>
  <c r="I12" i="21" a="1"/>
  <c r="I13" i="21" a="1"/>
  <c r="I11" i="21" a="1"/>
  <c r="I11" i="21" l="1"/>
  <c r="I13" i="21"/>
  <c r="H13" i="21"/>
  <c r="J13" i="21"/>
  <c r="I10" i="21"/>
  <c r="J14" i="21"/>
  <c r="H11" i="21"/>
  <c r="H14" i="21"/>
  <c r="H12" i="21"/>
  <c r="J10" i="21"/>
  <c r="J12" i="21"/>
  <c r="I12" i="21"/>
  <c r="H10" i="21"/>
  <c r="C8" i="9"/>
  <c r="H8" i="9" s="1"/>
  <c r="H8" i="10"/>
  <c r="H12" i="13"/>
  <c r="H12" i="9"/>
  <c r="H12" i="11"/>
  <c r="H12" i="12"/>
  <c r="H12" i="10"/>
  <c r="H17" i="10"/>
  <c r="H16" i="10"/>
  <c r="K11" i="19"/>
  <c r="J11" i="19"/>
  <c r="B11" i="19" s="1"/>
  <c r="F11" i="19"/>
  <c r="H11" i="19"/>
  <c r="G11" i="19" s="1"/>
  <c r="G13" i="19"/>
  <c r="D151" i="4"/>
  <c r="E151" i="4"/>
  <c r="F151" i="4"/>
  <c r="G151" i="4"/>
  <c r="H151" i="4"/>
  <c r="I151" i="4"/>
  <c r="J151" i="4"/>
  <c r="K151" i="4"/>
  <c r="H12" i="19" s="1"/>
  <c r="C151" i="4"/>
  <c r="F12" i="19"/>
  <c r="J12" i="19"/>
  <c r="K12" i="19"/>
  <c r="J10" i="19"/>
  <c r="K10" i="19"/>
  <c r="J9" i="19"/>
  <c r="D35" i="3"/>
  <c r="D34" i="3"/>
  <c r="D33" i="3"/>
  <c r="D32" i="3"/>
  <c r="G31" i="3"/>
  <c r="F31" i="3" s="1"/>
  <c r="D31" i="3" s="1"/>
  <c r="G30" i="3"/>
  <c r="F30" i="3" s="1"/>
  <c r="D30" i="3" s="1"/>
  <c r="G29" i="3"/>
  <c r="F29" i="3" s="1"/>
  <c r="D29" i="3" s="1"/>
  <c r="H10" i="19" s="1"/>
  <c r="G28" i="3"/>
  <c r="F28" i="3" s="1"/>
  <c r="D28" i="3" s="1"/>
  <c r="F10" i="19" s="1"/>
  <c r="G26" i="3"/>
  <c r="F26" i="3" s="1"/>
  <c r="D26" i="3" s="1"/>
  <c r="F9" i="19" s="1"/>
  <c r="H6" i="13"/>
  <c r="G12" i="3"/>
  <c r="G10" i="3"/>
  <c r="G13" i="3"/>
  <c r="G11" i="3"/>
  <c r="G14" i="3"/>
  <c r="H20" i="21" l="1"/>
  <c r="H19" i="21"/>
  <c r="H22" i="21"/>
  <c r="H21" i="21" a="1"/>
  <c r="H21" i="21" s="1"/>
  <c r="H27" i="21" s="1"/>
  <c r="G27" i="21" s="1"/>
  <c r="F27" i="21" s="1"/>
  <c r="D27" i="21" s="1"/>
  <c r="I19" i="21"/>
  <c r="I20" i="21"/>
  <c r="I22" i="21"/>
  <c r="I21" i="21" a="1"/>
  <c r="I21" i="21" s="1"/>
  <c r="G10" i="19"/>
  <c r="B10" i="19"/>
  <c r="B12" i="19"/>
  <c r="G12" i="19"/>
  <c r="M10" i="19"/>
  <c r="M11" i="19"/>
  <c r="M12" i="19"/>
  <c r="M13" i="19"/>
  <c r="M9" i="19"/>
  <c r="I12" i="3" a="1"/>
  <c r="H11" i="3" a="1"/>
  <c r="I11" i="3" a="1"/>
  <c r="H13" i="3" a="1"/>
  <c r="H14" i="3" a="1"/>
  <c r="J11" i="21" a="1"/>
  <c r="H12" i="3" a="1"/>
  <c r="J10" i="3" a="1"/>
  <c r="H10" i="3" a="1"/>
  <c r="I10" i="3" a="1"/>
  <c r="J11" i="21" l="1"/>
  <c r="J19" i="21" s="1"/>
  <c r="I12" i="3"/>
  <c r="I11" i="3"/>
  <c r="J10" i="3"/>
  <c r="J20" i="3" s="1"/>
  <c r="I10" i="3"/>
  <c r="H10" i="3"/>
  <c r="H11" i="3"/>
  <c r="H12" i="3"/>
  <c r="H14" i="3"/>
  <c r="H13" i="3"/>
  <c r="N22" i="3"/>
  <c r="O22" i="3"/>
  <c r="P22" i="3"/>
  <c r="Q22" i="3"/>
  <c r="N21" i="3"/>
  <c r="O21" i="3"/>
  <c r="P21" i="3"/>
  <c r="Q21" i="3"/>
  <c r="N19" i="3"/>
  <c r="O19" i="3"/>
  <c r="P19" i="3"/>
  <c r="Q19" i="3"/>
  <c r="C8" i="10"/>
  <c r="C8" i="12"/>
  <c r="C8" i="13"/>
  <c r="D14" i="3"/>
  <c r="D13" i="3"/>
  <c r="D12" i="3"/>
  <c r="D11" i="3"/>
  <c r="D10" i="3"/>
  <c r="D29" i="8"/>
  <c r="G20" i="8"/>
  <c r="D20" i="8"/>
  <c r="G19" i="8"/>
  <c r="G17" i="8"/>
  <c r="G16" i="8"/>
  <c r="G18" i="8"/>
  <c r="G21" i="8" s="1"/>
  <c r="D17" i="8"/>
  <c r="D19" i="8" s="1"/>
  <c r="D16" i="8"/>
  <c r="J68" i="6"/>
  <c r="K68" i="6" s="1"/>
  <c r="H68" i="6"/>
  <c r="I68" i="6" s="1"/>
  <c r="G68" i="6"/>
  <c r="F68" i="6"/>
  <c r="D68" i="6"/>
  <c r="E68" i="6" s="1"/>
  <c r="C68" i="6"/>
  <c r="K67" i="6"/>
  <c r="I67" i="6"/>
  <c r="G67" i="6"/>
  <c r="E67" i="6"/>
  <c r="C67" i="6"/>
  <c r="K66" i="6"/>
  <c r="I66" i="6"/>
  <c r="G66" i="6"/>
  <c r="E66" i="6"/>
  <c r="C66" i="6"/>
  <c r="K65" i="6"/>
  <c r="I65" i="6"/>
  <c r="G65" i="6"/>
  <c r="E65" i="6"/>
  <c r="C65" i="6"/>
  <c r="K64" i="6"/>
  <c r="I64" i="6"/>
  <c r="G64" i="6"/>
  <c r="E64" i="6"/>
  <c r="C64" i="6"/>
  <c r="K63" i="6"/>
  <c r="I63" i="6"/>
  <c r="G63" i="6"/>
  <c r="E63" i="6"/>
  <c r="C63" i="6"/>
  <c r="K62" i="6"/>
  <c r="I62" i="6"/>
  <c r="G62" i="6"/>
  <c r="E62" i="6"/>
  <c r="C62" i="6"/>
  <c r="K61" i="6"/>
  <c r="I61" i="6"/>
  <c r="G61" i="6"/>
  <c r="E61" i="6"/>
  <c r="C61" i="6"/>
  <c r="K60" i="6"/>
  <c r="I60" i="6"/>
  <c r="G60" i="6"/>
  <c r="E60" i="6"/>
  <c r="C60" i="6"/>
  <c r="K59" i="6"/>
  <c r="I59" i="6"/>
  <c r="G59" i="6"/>
  <c r="E59" i="6"/>
  <c r="C59" i="6"/>
  <c r="K58" i="6"/>
  <c r="I58" i="6"/>
  <c r="G58" i="6"/>
  <c r="E58" i="6"/>
  <c r="C58" i="6"/>
  <c r="K57" i="6"/>
  <c r="I57" i="6"/>
  <c r="G57" i="6"/>
  <c r="E57" i="6"/>
  <c r="C57" i="6"/>
  <c r="K56" i="6"/>
  <c r="I56" i="6"/>
  <c r="G56" i="6"/>
  <c r="E56" i="6"/>
  <c r="C56" i="6"/>
  <c r="K55" i="6"/>
  <c r="I55" i="6"/>
  <c r="G55" i="6"/>
  <c r="E55" i="6"/>
  <c r="C55" i="6"/>
  <c r="K54" i="6"/>
  <c r="I54" i="6"/>
  <c r="G54" i="6"/>
  <c r="E54" i="6"/>
  <c r="C54" i="6"/>
  <c r="K53" i="6"/>
  <c r="I53" i="6"/>
  <c r="G53" i="6"/>
  <c r="E53" i="6"/>
  <c r="C53" i="6"/>
  <c r="K52" i="6"/>
  <c r="K51" i="6"/>
  <c r="I51" i="6"/>
  <c r="G51" i="6"/>
  <c r="E51" i="6"/>
  <c r="C51" i="6"/>
  <c r="I50" i="6"/>
  <c r="G50" i="6"/>
  <c r="E50" i="6"/>
  <c r="C50" i="6"/>
  <c r="K49" i="6"/>
  <c r="K48" i="6"/>
  <c r="I48" i="6"/>
  <c r="G48" i="6"/>
  <c r="E48" i="6"/>
  <c r="K47" i="6"/>
  <c r="I47" i="6"/>
  <c r="G47" i="6"/>
  <c r="E47" i="6"/>
  <c r="C47" i="6"/>
  <c r="I46" i="6"/>
  <c r="G45" i="6"/>
  <c r="E45" i="6"/>
  <c r="K44" i="6"/>
  <c r="I44" i="6"/>
  <c r="K43" i="6"/>
  <c r="I43" i="6"/>
  <c r="G43" i="6"/>
  <c r="E43" i="6"/>
  <c r="K42" i="6"/>
  <c r="I42" i="6"/>
  <c r="G42" i="6"/>
  <c r="E42" i="6"/>
  <c r="C42" i="6"/>
  <c r="K41" i="6"/>
  <c r="I41" i="6"/>
  <c r="G41" i="6"/>
  <c r="E41" i="6"/>
  <c r="C41" i="6"/>
  <c r="K40" i="6"/>
  <c r="I40" i="6"/>
  <c r="G40" i="6"/>
  <c r="E40" i="6"/>
  <c r="C40" i="6"/>
  <c r="K39" i="6"/>
  <c r="I39" i="6"/>
  <c r="G39" i="6"/>
  <c r="E39" i="6"/>
  <c r="C39" i="6"/>
  <c r="K38" i="6"/>
  <c r="I38" i="6"/>
  <c r="G38" i="6"/>
  <c r="E38" i="6"/>
  <c r="C38" i="6"/>
  <c r="K37" i="6"/>
  <c r="I37" i="6"/>
  <c r="G37" i="6"/>
  <c r="E37" i="6"/>
  <c r="C37" i="6"/>
  <c r="C36" i="6"/>
  <c r="I35" i="6"/>
  <c r="G35" i="6"/>
  <c r="E35" i="6"/>
  <c r="J34" i="6"/>
  <c r="H34" i="6"/>
  <c r="F34" i="6"/>
  <c r="D34" i="6"/>
  <c r="B34" i="6"/>
  <c r="K33" i="6"/>
  <c r="I33" i="6"/>
  <c r="I34" i="6" s="1"/>
  <c r="G33" i="6"/>
  <c r="G34" i="6" s="1"/>
  <c r="E33" i="6"/>
  <c r="E34" i="6" s="1"/>
  <c r="C33" i="6"/>
  <c r="C34" i="6" s="1"/>
  <c r="K32" i="6"/>
  <c r="I32" i="6"/>
  <c r="G32" i="6"/>
  <c r="E32" i="6"/>
  <c r="C32" i="6"/>
  <c r="K31" i="6"/>
  <c r="I31" i="6"/>
  <c r="G31" i="6"/>
  <c r="E31" i="6"/>
  <c r="C31" i="6"/>
  <c r="C30" i="6"/>
  <c r="C29" i="6"/>
  <c r="K28" i="6"/>
  <c r="I28" i="6"/>
  <c r="G28" i="6"/>
  <c r="E28" i="6"/>
  <c r="C28" i="6"/>
  <c r="K27" i="6"/>
  <c r="I27" i="6"/>
  <c r="G27" i="6"/>
  <c r="E27" i="6"/>
  <c r="C27" i="6"/>
  <c r="K26" i="6"/>
  <c r="K34" i="6" s="1"/>
  <c r="I26" i="6"/>
  <c r="G26" i="6"/>
  <c r="E26" i="6"/>
  <c r="K25" i="6"/>
  <c r="I25" i="6"/>
  <c r="G25" i="6"/>
  <c r="E25" i="6"/>
  <c r="C25" i="6"/>
  <c r="K24" i="6"/>
  <c r="I24" i="6"/>
  <c r="G24" i="6"/>
  <c r="E24" i="6"/>
  <c r="K23" i="6"/>
  <c r="I23" i="6"/>
  <c r="G23" i="6"/>
  <c r="E23" i="6"/>
  <c r="C23" i="6"/>
  <c r="C22" i="6"/>
  <c r="K21" i="6"/>
  <c r="I21" i="6"/>
  <c r="G21" i="6"/>
  <c r="E21" i="6"/>
  <c r="C21" i="6"/>
  <c r="K20" i="6"/>
  <c r="I20" i="6"/>
  <c r="G20" i="6"/>
  <c r="E20" i="6"/>
  <c r="C20" i="6"/>
  <c r="K19" i="6"/>
  <c r="I19" i="6"/>
  <c r="G19" i="6"/>
  <c r="E19" i="6"/>
  <c r="C19" i="6"/>
  <c r="C18" i="6"/>
  <c r="K17" i="6"/>
  <c r="I17" i="6"/>
  <c r="G17" i="6"/>
  <c r="E17" i="6"/>
  <c r="C17" i="6"/>
  <c r="K16" i="6"/>
  <c r="I16" i="6"/>
  <c r="G16" i="6"/>
  <c r="E16" i="6"/>
  <c r="C16" i="6"/>
  <c r="K15" i="6"/>
  <c r="I14" i="6"/>
  <c r="K13" i="6"/>
  <c r="I13" i="6"/>
  <c r="K12" i="6"/>
  <c r="I12" i="6"/>
  <c r="G12" i="6"/>
  <c r="E12" i="6"/>
  <c r="C12" i="6"/>
  <c r="K42" i="5"/>
  <c r="I42" i="5"/>
  <c r="G42" i="5"/>
  <c r="E42" i="5"/>
  <c r="C42" i="5"/>
  <c r="K41" i="5"/>
  <c r="I41" i="5"/>
  <c r="G41" i="5"/>
  <c r="E41" i="5"/>
  <c r="C41" i="5"/>
  <c r="K40" i="5"/>
  <c r="I40" i="5"/>
  <c r="G40" i="5"/>
  <c r="E40" i="5"/>
  <c r="C40" i="5"/>
  <c r="K39" i="5"/>
  <c r="I39" i="5"/>
  <c r="G39" i="5"/>
  <c r="E39" i="5"/>
  <c r="C39" i="5"/>
  <c r="K38" i="5"/>
  <c r="I38" i="5"/>
  <c r="G38" i="5"/>
  <c r="E38" i="5"/>
  <c r="C38" i="5"/>
  <c r="K37" i="5"/>
  <c r="I37" i="5"/>
  <c r="G37" i="5"/>
  <c r="E37" i="5"/>
  <c r="C37" i="5"/>
  <c r="K36" i="5"/>
  <c r="I36" i="5"/>
  <c r="G36" i="5"/>
  <c r="E36" i="5"/>
  <c r="C36" i="5"/>
  <c r="K35" i="5"/>
  <c r="I35" i="5"/>
  <c r="G35" i="5"/>
  <c r="E35" i="5"/>
  <c r="C35" i="5"/>
  <c r="K34" i="5"/>
  <c r="I34" i="5"/>
  <c r="G34" i="5"/>
  <c r="E34" i="5"/>
  <c r="C34" i="5"/>
  <c r="K33" i="5"/>
  <c r="I33" i="5"/>
  <c r="G33" i="5"/>
  <c r="E33" i="5"/>
  <c r="C33" i="5"/>
  <c r="K32" i="5"/>
  <c r="I32" i="5"/>
  <c r="G32" i="5"/>
  <c r="E32" i="5"/>
  <c r="C32" i="5"/>
  <c r="K31" i="5"/>
  <c r="I31" i="5"/>
  <c r="G31" i="5"/>
  <c r="E31" i="5"/>
  <c r="C31" i="5"/>
  <c r="I30" i="5"/>
  <c r="G30" i="5"/>
  <c r="E30" i="5"/>
  <c r="I29" i="5"/>
  <c r="G29" i="5"/>
  <c r="E29" i="5"/>
  <c r="J28" i="5"/>
  <c r="K28" i="5" s="1"/>
  <c r="H28" i="5"/>
  <c r="I28" i="5" s="1"/>
  <c r="F28" i="5"/>
  <c r="G28" i="5" s="1"/>
  <c r="D28" i="5"/>
  <c r="E28" i="5" s="1"/>
  <c r="C28" i="5"/>
  <c r="B28" i="5"/>
  <c r="K27" i="5"/>
  <c r="I27" i="5"/>
  <c r="G27" i="5"/>
  <c r="E27" i="5"/>
  <c r="C26" i="5"/>
  <c r="K25" i="5"/>
  <c r="I25" i="5"/>
  <c r="G25" i="5"/>
  <c r="E25" i="5"/>
  <c r="C25" i="5"/>
  <c r="K24" i="5"/>
  <c r="I24" i="5"/>
  <c r="G24" i="5"/>
  <c r="E24" i="5"/>
  <c r="C24" i="5"/>
  <c r="K23" i="5"/>
  <c r="I23" i="5"/>
  <c r="G23" i="5"/>
  <c r="E23" i="5"/>
  <c r="K22" i="5"/>
  <c r="I22" i="5"/>
  <c r="G22" i="5"/>
  <c r="E22" i="5"/>
  <c r="C22" i="5"/>
  <c r="K21" i="5"/>
  <c r="K20" i="5"/>
  <c r="I20" i="5"/>
  <c r="G20" i="5"/>
  <c r="E20" i="5"/>
  <c r="C20" i="5"/>
  <c r="J19" i="5"/>
  <c r="K19" i="5" s="1"/>
  <c r="H19" i="5"/>
  <c r="I19" i="5" s="1"/>
  <c r="G19" i="5"/>
  <c r="F19" i="5"/>
  <c r="E19" i="5"/>
  <c r="D19" i="5"/>
  <c r="B19" i="5"/>
  <c r="C19" i="5" s="1"/>
  <c r="K18" i="5"/>
  <c r="I18" i="5"/>
  <c r="G18" i="5"/>
  <c r="E18" i="5"/>
  <c r="C18" i="5"/>
  <c r="K17" i="5"/>
  <c r="I17" i="5"/>
  <c r="G17" i="5"/>
  <c r="E17" i="5"/>
  <c r="C17" i="5"/>
  <c r="K16" i="5"/>
  <c r="I16" i="5"/>
  <c r="G16" i="5"/>
  <c r="E16" i="5"/>
  <c r="C16" i="5"/>
  <c r="K15" i="5"/>
  <c r="I15" i="5"/>
  <c r="G15" i="5"/>
  <c r="E15" i="5"/>
  <c r="C15" i="5"/>
  <c r="K14" i="5"/>
  <c r="I14" i="5"/>
  <c r="G14" i="5"/>
  <c r="E14" i="5"/>
  <c r="C14" i="5"/>
  <c r="I13" i="5"/>
  <c r="G13" i="5"/>
  <c r="E13" i="5"/>
  <c r="C13" i="5"/>
  <c r="I12" i="5"/>
  <c r="G12" i="5"/>
  <c r="E12" i="5"/>
  <c r="C12" i="5"/>
  <c r="I171" i="4"/>
  <c r="I172" i="4" s="1"/>
  <c r="H150" i="4"/>
  <c r="I150" i="4" s="1"/>
  <c r="J150" i="4" s="1"/>
  <c r="K150" i="4" s="1"/>
  <c r="F150" i="4"/>
  <c r="E150" i="4" s="1"/>
  <c r="D150" i="4" s="1"/>
  <c r="C150" i="4" s="1"/>
  <c r="K115" i="4"/>
  <c r="E115" i="4"/>
  <c r="G115" i="4" s="1"/>
  <c r="I115" i="4" s="1"/>
  <c r="K114" i="4"/>
  <c r="I114" i="4" s="1"/>
  <c r="E114" i="4"/>
  <c r="G114" i="4" s="1"/>
  <c r="K113" i="4"/>
  <c r="I113" i="4" s="1"/>
  <c r="G113" i="4"/>
  <c r="E113" i="4"/>
  <c r="K112" i="4"/>
  <c r="C122" i="4" s="1"/>
  <c r="F112" i="4"/>
  <c r="G112" i="4" s="1"/>
  <c r="I112" i="4" s="1"/>
  <c r="C119" i="4" s="1"/>
  <c r="E112" i="4"/>
  <c r="F96" i="4"/>
  <c r="F90" i="4"/>
  <c r="N57" i="4"/>
  <c r="J71" i="4"/>
  <c r="F71" i="4"/>
  <c r="G68" i="4"/>
  <c r="H68" i="4" s="1"/>
  <c r="I68" i="4" s="1"/>
  <c r="J68" i="4" s="1"/>
  <c r="K68" i="4" s="1"/>
  <c r="L68" i="4" s="1"/>
  <c r="M68" i="4" s="1"/>
  <c r="N68" i="4" s="1"/>
  <c r="O68" i="4" s="1"/>
  <c r="F68" i="4"/>
  <c r="F80" i="4" s="1"/>
  <c r="G80" i="4" s="1"/>
  <c r="H80" i="4" s="1"/>
  <c r="I80" i="4" s="1"/>
  <c r="J80" i="4" s="1"/>
  <c r="K80" i="4" s="1"/>
  <c r="L80" i="4" s="1"/>
  <c r="M80" i="4" s="1"/>
  <c r="N80" i="4" s="1"/>
  <c r="O80" i="4" s="1"/>
  <c r="S50" i="4"/>
  <c r="G33" i="4"/>
  <c r="H33" i="4" s="1"/>
  <c r="I33" i="4" s="1"/>
  <c r="J33" i="4" s="1"/>
  <c r="K33" i="4" s="1"/>
  <c r="L33" i="4" s="1"/>
  <c r="M33" i="4" s="1"/>
  <c r="N33" i="4" s="1"/>
  <c r="O33" i="4" s="1"/>
  <c r="F33" i="4"/>
  <c r="F28" i="4"/>
  <c r="I40" i="4"/>
  <c r="I36" i="4"/>
  <c r="K14" i="4"/>
  <c r="N13" i="4"/>
  <c r="O13" i="4" s="1"/>
  <c r="B7" i="4"/>
  <c r="C5" i="4"/>
  <c r="C4" i="4" a="1"/>
  <c r="C4" i="4" s="1"/>
  <c r="C3" i="4" a="1"/>
  <c r="C3" i="4" s="1"/>
  <c r="J21" i="21" l="1" a="1"/>
  <c r="J21" i="21" s="1"/>
  <c r="J22" i="21"/>
  <c r="J20" i="21"/>
  <c r="I20" i="3"/>
  <c r="I22" i="3"/>
  <c r="H20" i="3"/>
  <c r="H22" i="3"/>
  <c r="I19" i="3"/>
  <c r="J19" i="3"/>
  <c r="J22" i="3"/>
  <c r="F37" i="3"/>
  <c r="D37" i="3" s="1"/>
  <c r="F36" i="3"/>
  <c r="D36" i="3" s="1"/>
  <c r="H21" i="3"/>
  <c r="H27" i="3" s="1"/>
  <c r="H19" i="3"/>
  <c r="J21" i="3"/>
  <c r="I21" i="3"/>
  <c r="J20" i="4"/>
  <c r="F74" i="4"/>
  <c r="F36" i="4"/>
  <c r="G35" i="4"/>
  <c r="I74" i="4"/>
  <c r="F37" i="4"/>
  <c r="F16" i="4"/>
  <c r="F42" i="4" s="1"/>
  <c r="I20" i="4"/>
  <c r="G20" i="4"/>
  <c r="G38" i="4"/>
  <c r="G40" i="4"/>
  <c r="H40" i="4"/>
  <c r="J38" i="4"/>
  <c r="F75" i="4"/>
  <c r="F81" i="4" s="1"/>
  <c r="H39" i="4"/>
  <c r="H16" i="4"/>
  <c r="H42" i="4" s="1"/>
  <c r="I38" i="4"/>
  <c r="H71" i="4"/>
  <c r="J40" i="4"/>
  <c r="G39" i="4"/>
  <c r="F92" i="4"/>
  <c r="F93" i="4"/>
  <c r="G16" i="4"/>
  <c r="G21" i="4" s="1"/>
  <c r="G22" i="4" s="1"/>
  <c r="G23" i="4" s="1"/>
  <c r="G74" i="4"/>
  <c r="F38" i="4"/>
  <c r="J16" i="4"/>
  <c r="J42" i="4" s="1"/>
  <c r="G41" i="4"/>
  <c r="J36" i="4"/>
  <c r="H41" i="4"/>
  <c r="J39" i="4"/>
  <c r="H35" i="4"/>
  <c r="J74" i="4"/>
  <c r="J75" i="4" s="1"/>
  <c r="E30" i="8"/>
  <c r="I16" i="4"/>
  <c r="I42" i="4" s="1"/>
  <c r="H20" i="4"/>
  <c r="I71" i="4"/>
  <c r="H74" i="4"/>
  <c r="D18" i="8"/>
  <c r="C23" i="8" s="1"/>
  <c r="C26" i="8" s="1"/>
  <c r="C27" i="8" s="1"/>
  <c r="G36" i="4"/>
  <c r="F40" i="4"/>
  <c r="H38" i="4"/>
  <c r="G71" i="4"/>
  <c r="G75" i="4" s="1"/>
  <c r="R41" i="4"/>
  <c r="L41" i="4" s="1"/>
  <c r="R36" i="4"/>
  <c r="L36" i="4" s="1"/>
  <c r="M36" i="4" s="1"/>
  <c r="N36" i="4" s="1"/>
  <c r="O36" i="4" s="1"/>
  <c r="R37" i="4"/>
  <c r="L37" i="4" s="1"/>
  <c r="M37" i="4" s="1"/>
  <c r="N37" i="4" s="1"/>
  <c r="O37" i="4" s="1"/>
  <c r="R38" i="4"/>
  <c r="L38" i="4" s="1"/>
  <c r="R39" i="4"/>
  <c r="L39" i="4" s="1"/>
  <c r="M39" i="4" s="1"/>
  <c r="N39" i="4" s="1"/>
  <c r="O39" i="4" s="1"/>
  <c r="R40" i="4"/>
  <c r="L40" i="4" s="1"/>
  <c r="R35" i="4"/>
  <c r="L35" i="4" s="1"/>
  <c r="M35" i="4" s="1"/>
  <c r="N35" i="4" s="1"/>
  <c r="O35" i="4" s="1"/>
  <c r="I173" i="4"/>
  <c r="I174" i="4" s="1"/>
  <c r="I176" i="4" s="1"/>
  <c r="I75" i="4"/>
  <c r="K75" i="4"/>
  <c r="K17" i="4"/>
  <c r="K25" i="4"/>
  <c r="K18" i="4"/>
  <c r="L14" i="4"/>
  <c r="K26" i="4"/>
  <c r="K15" i="4"/>
  <c r="K16" i="4" s="1"/>
  <c r="K19" i="4"/>
  <c r="F20" i="4"/>
  <c r="G37" i="4"/>
  <c r="C121" i="4"/>
  <c r="C123" i="4" s="1"/>
  <c r="F102" i="4" s="1"/>
  <c r="F103" i="4" s="1"/>
  <c r="H37" i="4"/>
  <c r="G42" i="4"/>
  <c r="I37" i="4"/>
  <c r="J37" i="4"/>
  <c r="F41" i="4"/>
  <c r="N171" i="4"/>
  <c r="N172" i="4" s="1"/>
  <c r="H36" i="4"/>
  <c r="I35" i="4"/>
  <c r="I41" i="4"/>
  <c r="J35" i="4"/>
  <c r="F39" i="4"/>
  <c r="I39" i="4"/>
  <c r="K9" i="19" l="1"/>
  <c r="B9" i="19" s="1"/>
  <c r="G27" i="3"/>
  <c r="F27" i="3" s="1"/>
  <c r="D27" i="3" s="1"/>
  <c r="H9" i="19" s="1"/>
  <c r="G9" i="19" s="1"/>
  <c r="H75" i="4"/>
  <c r="J21" i="4"/>
  <c r="J22" i="4" s="1"/>
  <c r="J23" i="4" s="1"/>
  <c r="F27" i="4"/>
  <c r="I21" i="4"/>
  <c r="F21" i="4"/>
  <c r="H76" i="4"/>
  <c r="H28" i="4" s="1"/>
  <c r="C24" i="8"/>
  <c r="F105" i="4"/>
  <c r="H52" i="4" s="1"/>
  <c r="N52" i="4" s="1"/>
  <c r="H81" i="4"/>
  <c r="H21" i="4"/>
  <c r="H27" i="4"/>
  <c r="K42" i="4"/>
  <c r="N59" i="4"/>
  <c r="H59" i="4"/>
  <c r="I89" i="4"/>
  <c r="I22" i="4"/>
  <c r="I23" i="4"/>
  <c r="I76" i="4"/>
  <c r="I28" i="4" s="1"/>
  <c r="I27" i="4"/>
  <c r="I81" i="4"/>
  <c r="M14" i="4"/>
  <c r="L26" i="4"/>
  <c r="L15" i="4"/>
  <c r="L16" i="4" s="1"/>
  <c r="L17" i="4"/>
  <c r="M41" i="4"/>
  <c r="L19" i="4"/>
  <c r="K20" i="4"/>
  <c r="K21" i="4" s="1"/>
  <c r="K76" i="4"/>
  <c r="K28" i="4" s="1"/>
  <c r="K27" i="4"/>
  <c r="H22" i="4"/>
  <c r="H23" i="4"/>
  <c r="H30" i="4" s="1"/>
  <c r="J76" i="4"/>
  <c r="J28" i="4" s="1"/>
  <c r="J27" i="4"/>
  <c r="J81" i="4"/>
  <c r="R81" i="4" s="1"/>
  <c r="L81" i="4" s="1"/>
  <c r="M40" i="4"/>
  <c r="L18" i="4"/>
  <c r="L25" i="4"/>
  <c r="M38" i="4"/>
  <c r="G76" i="4"/>
  <c r="G28" i="4" s="1"/>
  <c r="G30" i="4" s="1"/>
  <c r="G27" i="4"/>
  <c r="G81" i="4"/>
  <c r="N176" i="4"/>
  <c r="S56" i="4" s="1"/>
  <c r="N173" i="4"/>
  <c r="S57" i="4" s="1"/>
  <c r="J30" i="4" l="1"/>
  <c r="F22" i="4"/>
  <c r="F23" i="4" s="1"/>
  <c r="F30" i="4" s="1"/>
  <c r="L42" i="4"/>
  <c r="M26" i="4"/>
  <c r="M15" i="4"/>
  <c r="M16" i="4" s="1"/>
  <c r="M17" i="4"/>
  <c r="N14" i="4"/>
  <c r="K22" i="4"/>
  <c r="K23" i="4" s="1"/>
  <c r="K30" i="4" s="1"/>
  <c r="M25" i="4"/>
  <c r="N38" i="4"/>
  <c r="I30" i="4"/>
  <c r="N41" i="4"/>
  <c r="M19" i="4"/>
  <c r="L20" i="4"/>
  <c r="L21" i="4" s="1"/>
  <c r="M81" i="4"/>
  <c r="L75" i="4"/>
  <c r="M18" i="4"/>
  <c r="N40" i="4"/>
  <c r="M20" i="4" l="1"/>
  <c r="M21" i="4" s="1"/>
  <c r="L22" i="4"/>
  <c r="L23" i="4" s="1"/>
  <c r="L76" i="4"/>
  <c r="L28" i="4" s="1"/>
  <c r="L27" i="4"/>
  <c r="N81" i="4"/>
  <c r="M75" i="4"/>
  <c r="O38" i="4"/>
  <c r="N25" i="4"/>
  <c r="N19" i="4"/>
  <c r="O41" i="4"/>
  <c r="M42" i="4"/>
  <c r="N18" i="4"/>
  <c r="O40" i="4"/>
  <c r="N26" i="4"/>
  <c r="O14" i="4"/>
  <c r="N17" i="4"/>
  <c r="N15" i="4"/>
  <c r="N16" i="4" s="1"/>
  <c r="O18" i="4" l="1"/>
  <c r="O19" i="4"/>
  <c r="O25" i="4"/>
  <c r="N42" i="4"/>
  <c r="L30" i="4"/>
  <c r="N20" i="4"/>
  <c r="N21" i="4" s="1"/>
  <c r="M76" i="4"/>
  <c r="M28" i="4" s="1"/>
  <c r="M27" i="4"/>
  <c r="M22" i="4"/>
  <c r="M23" i="4" s="1"/>
  <c r="M30" i="4" s="1"/>
  <c r="O81" i="4"/>
  <c r="O75" i="4" s="1"/>
  <c r="N75" i="4"/>
  <c r="O26" i="4"/>
  <c r="O15" i="4"/>
  <c r="O16" i="4" s="1"/>
  <c r="O17" i="4"/>
  <c r="O20" i="4" s="1"/>
  <c r="O42" i="4" l="1"/>
  <c r="O21" i="4"/>
  <c r="N22" i="4"/>
  <c r="N23" i="4" s="1"/>
  <c r="N76" i="4"/>
  <c r="N28" i="4" s="1"/>
  <c r="N27" i="4"/>
  <c r="O27" i="4"/>
  <c r="O76" i="4"/>
  <c r="O28" i="4" s="1"/>
  <c r="N30" i="4" l="1"/>
  <c r="N49" i="4"/>
  <c r="N51" i="4" s="1"/>
  <c r="N53" i="4" s="1"/>
  <c r="O22" i="4"/>
  <c r="O23" i="4" s="1"/>
  <c r="O30" i="4" s="1"/>
  <c r="H49" i="4" l="1"/>
  <c r="H51" i="4" s="1"/>
  <c r="H53" i="4" s="1"/>
  <c r="H55" i="4"/>
  <c r="N55" i="4" l="1"/>
  <c r="N56" i="4" s="1"/>
  <c r="N58" i="4" s="1"/>
  <c r="N60" i="4" s="1"/>
  <c r="H56" i="4"/>
  <c r="H58" i="4" s="1"/>
  <c r="H60" i="4" l="1"/>
  <c r="S55" i="4"/>
  <c r="S58" i="4" s="1"/>
  <c r="S49" i="4"/>
  <c r="S52" i="4" s="1"/>
  <c r="B15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 finby</author>
  </authors>
  <commentList>
    <comment ref="O7" authorId="0" shapeId="0" xr:uid="{67F4EE53-D98B-4733-BC88-882F773B2B7E}">
      <text>
        <r>
          <rPr>
            <b/>
            <sz val="9"/>
            <color indexed="81"/>
            <rFont val="Tahoma"/>
            <family val="2"/>
          </rPr>
          <t>paul finby:</t>
        </r>
        <r>
          <rPr>
            <sz val="9"/>
            <color indexed="81"/>
            <rFont val="Tahoma"/>
            <family val="2"/>
          </rPr>
          <t xml:space="preserve">
All Equity Value multiples provided by Yahoo Finance as of 4/22/24</t>
        </r>
      </text>
    </comment>
    <comment ref="F8" authorId="0" shapeId="0" xr:uid="{8FE5FA28-630C-406E-BCCD-A70906FE2B11}">
      <text>
        <r>
          <rPr>
            <b/>
            <sz val="9"/>
            <color indexed="81"/>
            <rFont val="Tahoma"/>
            <family val="2"/>
          </rPr>
          <t>paul finby:</t>
        </r>
        <r>
          <rPr>
            <sz val="9"/>
            <color indexed="81"/>
            <rFont val="Tahoma"/>
            <family val="2"/>
          </rPr>
          <t xml:space="preserve">
MV of Equity provided by Yahoo Finance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paul finby</author>
  </authors>
  <commentList>
    <comment ref="N2" authorId="0" shapeId="0" xr:uid="{C5BA07D5-ECD4-44E4-A8C1-FD07F8E4A6E3}">
      <text>
        <r>
          <rPr>
            <b/>
            <sz val="9"/>
            <color indexed="81"/>
            <rFont val="Tahoma"/>
            <family val="2"/>
          </rPr>
          <t>paul finby:</t>
        </r>
        <r>
          <rPr>
            <sz val="9"/>
            <color indexed="81"/>
            <rFont val="Tahoma"/>
            <family val="2"/>
          </rPr>
          <t xml:space="preserve">
Share Price Information provided via Mergent as of 4/22/24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Mora-Perez, Octavio</author>
  </authors>
  <commentList>
    <comment ref="B25" authorId="0" shapeId="0" xr:uid="{6331CD80-D219-4710-8A17-07FCE39DE10B}">
      <text>
        <r>
          <rPr>
            <b/>
            <sz val="10"/>
            <color rgb="FF000000"/>
            <rFont val="Tahoma"/>
            <family val="2"/>
          </rPr>
          <t>Mora-Perez, Octavio:</t>
        </r>
        <r>
          <rPr>
            <sz val="10"/>
            <color rgb="FF000000"/>
            <rFont val="Tahoma"/>
            <family val="2"/>
          </rPr>
          <t xml:space="preserve">
</t>
        </r>
        <r>
          <rPr>
            <sz val="10"/>
            <color rgb="FF000000"/>
            <rFont val="Tahoma"/>
            <family val="2"/>
          </rPr>
          <t xml:space="preserve">From Cash Flow Statement
</t>
        </r>
      </text>
    </comment>
    <comment ref="B26" authorId="0" shapeId="0" xr:uid="{3972E5B9-F3CB-47FC-8A6A-E5B77ACD1D32}">
      <text>
        <r>
          <rPr>
            <b/>
            <sz val="10"/>
            <color rgb="FF000000"/>
            <rFont val="Tahoma"/>
            <family val="2"/>
          </rPr>
          <t>Mora-Perez, Octavio:</t>
        </r>
        <r>
          <rPr>
            <sz val="10"/>
            <color rgb="FF000000"/>
            <rFont val="Tahoma"/>
            <family val="2"/>
          </rPr>
          <t xml:space="preserve">
</t>
        </r>
        <r>
          <rPr>
            <sz val="10"/>
            <color rgb="FF000000"/>
            <rFont val="Tahoma"/>
            <family val="2"/>
          </rPr>
          <t xml:space="preserve">Line Item Original Name: Purchases of leasehold improvements, property, &amp; equipment.
</t>
        </r>
      </text>
    </comment>
    <comment ref="N50" authorId="0" shapeId="0" xr:uid="{E3D97E2F-C1D4-4EAF-A277-83F42570F66A}">
      <text>
        <r>
          <rPr>
            <b/>
            <sz val="10"/>
            <color rgb="FF000000"/>
            <rFont val="Tahoma"/>
            <family val="2"/>
          </rPr>
          <t>Mora-Perez, Octavio:</t>
        </r>
        <r>
          <rPr>
            <sz val="10"/>
            <color rgb="FF000000"/>
            <rFont val="Tahoma"/>
            <family val="2"/>
          </rPr>
          <t xml:space="preserve">
</t>
        </r>
        <r>
          <rPr>
            <sz val="10"/>
            <color rgb="FF000000"/>
            <rFont val="Tahoma"/>
            <family val="2"/>
          </rPr>
          <t xml:space="preserve">From Damadoran website under Restaurant/Dining. March 31.
</t>
        </r>
        <r>
          <rPr>
            <sz val="10"/>
            <color rgb="FF000000"/>
            <rFont val="Tahoma"/>
            <family val="2"/>
          </rPr>
          <t>https://pages.stern.nyu.edu/~adamodar/New_Home_Page/datafile/vebitda.html</t>
        </r>
      </text>
    </comment>
    <comment ref="S55" authorId="0" shapeId="0" xr:uid="{7A645346-0674-4AF6-92E9-5694B50B3E70}">
      <text>
        <r>
          <rPr>
            <b/>
            <sz val="10"/>
            <color rgb="FF000000"/>
            <rFont val="Tahoma"/>
            <family val="2"/>
          </rPr>
          <t>Mora-Perez, Octavio:</t>
        </r>
        <r>
          <rPr>
            <sz val="10"/>
            <color rgb="FF000000"/>
            <rFont val="Tahoma"/>
            <family val="2"/>
          </rPr>
          <t xml:space="preserve">
</t>
        </r>
        <r>
          <rPr>
            <sz val="10"/>
            <color rgb="FF000000"/>
            <rFont val="Tahoma"/>
            <family val="2"/>
          </rPr>
          <t>Avg of both Equity Values</t>
        </r>
      </text>
    </comment>
    <comment ref="H57" authorId="0" shapeId="0" xr:uid="{7301CEFA-AB2D-4482-B980-41A19743537A}">
      <text>
        <r>
          <rPr>
            <b/>
            <sz val="10"/>
            <color rgb="FF000000"/>
            <rFont val="Tahoma"/>
            <family val="2"/>
          </rPr>
          <t>Mora-Perez, Octavio:</t>
        </r>
        <r>
          <rPr>
            <sz val="10"/>
            <color rgb="FF000000"/>
            <rFont val="Tahoma"/>
            <family val="2"/>
          </rPr>
          <t xml:space="preserve">
</t>
        </r>
        <r>
          <rPr>
            <sz val="10"/>
            <color rgb="FF000000"/>
            <rFont val="Tahoma"/>
            <family val="2"/>
          </rPr>
          <t>Total Debt - (Cash &amp; equivalents + current &amp; long-term investments)</t>
        </r>
      </text>
    </comment>
    <comment ref="F88" authorId="0" shapeId="0" xr:uid="{EFEDF5A2-9DFC-4ADA-B67A-3FEE68BFC1F9}">
      <text>
        <r>
          <rPr>
            <b/>
            <sz val="10"/>
            <color rgb="FF000000"/>
            <rFont val="Tahoma"/>
            <family val="2"/>
          </rPr>
          <t>Mora-Perez, Octavio:</t>
        </r>
        <r>
          <rPr>
            <sz val="10"/>
            <color rgb="FF000000"/>
            <rFont val="Tahoma"/>
            <family val="2"/>
          </rPr>
          <t xml:space="preserve">
</t>
        </r>
        <r>
          <rPr>
            <sz val="10"/>
            <color rgb="FF000000"/>
            <rFont val="Tahoma"/>
            <family val="2"/>
          </rPr>
          <t xml:space="preserve">Share Price as of March 31 6:30 PM
</t>
        </r>
      </text>
    </comment>
    <comment ref="F89" authorId="0" shapeId="0" xr:uid="{21A6A27E-4AAA-4DED-89AD-5E156A2F7ADD}">
      <text>
        <r>
          <rPr>
            <b/>
            <sz val="10"/>
            <color rgb="FF000000"/>
            <rFont val="Tahoma"/>
            <family val="2"/>
          </rPr>
          <t>Mora-Perez, Octavio:</t>
        </r>
        <r>
          <rPr>
            <sz val="10"/>
            <color rgb="FF000000"/>
            <rFont val="Tahoma"/>
            <family val="2"/>
          </rPr>
          <t xml:space="preserve">
</t>
        </r>
        <r>
          <rPr>
            <sz val="10"/>
            <color rgb="FF000000"/>
            <rFont val="Tahoma"/>
            <family val="2"/>
          </rPr>
          <t xml:space="preserve">Data from YAHOO finance &amp; EDGAR. Numbers in Thousands.
</t>
        </r>
      </text>
    </comment>
    <comment ref="H96" authorId="0" shapeId="0" xr:uid="{389BBC29-3070-4EFF-8C09-67B73C055468}">
      <text>
        <r>
          <rPr>
            <b/>
            <sz val="10"/>
            <color rgb="FF000000"/>
            <rFont val="Tahoma"/>
            <family val="2"/>
          </rPr>
          <t>Mora-Perez, Octavio:</t>
        </r>
        <r>
          <rPr>
            <sz val="10"/>
            <color rgb="FF000000"/>
            <rFont val="Tahoma"/>
            <family val="2"/>
          </rPr>
          <t xml:space="preserve">
</t>
        </r>
        <r>
          <rPr>
            <sz val="10"/>
            <color rgb="FF000000"/>
            <rFont val="Tahoma"/>
            <family val="2"/>
          </rPr>
          <t xml:space="preserve">Data from Damodaran as of March 30.
</t>
        </r>
        <r>
          <rPr>
            <sz val="10"/>
            <color rgb="FF000000"/>
            <rFont val="Tahoma"/>
            <family val="2"/>
          </rPr>
          <t>Chipotle is estimated at a BBB rating according to Capital IQ.</t>
        </r>
      </text>
    </comment>
    <comment ref="F100" authorId="0" shapeId="0" xr:uid="{4C0516F6-0EE0-4AB9-BF89-D035C4A728C2}">
      <text>
        <r>
          <rPr>
            <b/>
            <sz val="10"/>
            <color rgb="FF000000"/>
            <rFont val="Tahoma"/>
            <family val="2"/>
          </rPr>
          <t>Mora-Perez, Octavio:</t>
        </r>
        <r>
          <rPr>
            <sz val="10"/>
            <color rgb="FF000000"/>
            <rFont val="Tahoma"/>
            <family val="2"/>
          </rPr>
          <t xml:space="preserve">
</t>
        </r>
        <r>
          <rPr>
            <sz val="10"/>
            <color rgb="FF000000"/>
            <rFont val="Tahoma"/>
            <family val="2"/>
          </rPr>
          <t>From CNBC March 30 https://www.cnbc.com/quotes/US10Y</t>
        </r>
      </text>
    </comment>
    <comment ref="F101" authorId="0" shapeId="0" xr:uid="{6E26EFAF-040B-4E72-9C11-6B39584EE932}">
      <text>
        <r>
          <rPr>
            <b/>
            <sz val="10"/>
            <color rgb="FF000000"/>
            <rFont val="Tahoma"/>
            <family val="2"/>
          </rPr>
          <t>Mora-Perez, Octavio:</t>
        </r>
        <r>
          <rPr>
            <sz val="10"/>
            <color rgb="FF000000"/>
            <rFont val="Tahoma"/>
            <family val="2"/>
          </rPr>
          <t xml:space="preserve">
</t>
        </r>
        <r>
          <rPr>
            <sz val="10"/>
            <color rgb="FF000000"/>
            <rFont val="Tahoma"/>
            <family val="2"/>
          </rPr>
          <t>From Damodaran Website. Data as of March 30</t>
        </r>
      </text>
    </comment>
    <comment ref="I168" authorId="0" shapeId="0" xr:uid="{5164CE2C-868A-4402-AC92-A155272AFF4C}">
      <text>
        <r>
          <rPr>
            <b/>
            <sz val="10"/>
            <color rgb="FF000000"/>
            <rFont val="Tahoma"/>
            <family val="2"/>
          </rPr>
          <t>Mora-Perez, Octavio:</t>
        </r>
        <r>
          <rPr>
            <sz val="10"/>
            <color rgb="FF000000"/>
            <rFont val="Tahoma"/>
            <family val="2"/>
          </rPr>
          <t xml:space="preserve">
</t>
        </r>
        <r>
          <rPr>
            <sz val="10"/>
            <color rgb="FF000000"/>
            <rFont val="Tahoma"/>
            <family val="2"/>
          </rPr>
          <t xml:space="preserve">Via EDGAR 2023 10-K.
</t>
        </r>
        <r>
          <rPr>
            <sz val="10"/>
            <color rgb="FF000000"/>
            <rFont val="Tahoma"/>
            <family val="2"/>
          </rPr>
          <t>Page 53.</t>
        </r>
      </text>
    </comment>
    <comment ref="N168" authorId="0" shapeId="0" xr:uid="{DF793D1F-E9EF-4E5D-8CC0-C480D6102208}">
      <text>
        <r>
          <rPr>
            <b/>
            <sz val="10"/>
            <color rgb="FF000000"/>
            <rFont val="Tahoma"/>
            <family val="2"/>
          </rPr>
          <t>Mora-Perez, Octavio:</t>
        </r>
        <r>
          <rPr>
            <sz val="10"/>
            <color rgb="FF000000"/>
            <rFont val="Tahoma"/>
            <family val="2"/>
          </rPr>
          <t xml:space="preserve">
</t>
        </r>
        <r>
          <rPr>
            <sz val="10"/>
            <color rgb="FF000000"/>
            <rFont val="Tahoma"/>
            <family val="2"/>
          </rPr>
          <t xml:space="preserve">Via EDGAR 2023 10-K.
</t>
        </r>
        <r>
          <rPr>
            <sz val="10"/>
            <color rgb="FF000000"/>
            <rFont val="Tahoma"/>
            <family val="2"/>
          </rPr>
          <t>Page 53.</t>
        </r>
      </text>
    </comment>
    <comment ref="I175" authorId="0" shapeId="0" xr:uid="{D0811ADE-3ECF-48E4-B3A0-E84E7297C3CE}">
      <text>
        <r>
          <rPr>
            <b/>
            <sz val="10"/>
            <color rgb="FF000000"/>
            <rFont val="Tahoma"/>
            <family val="2"/>
          </rPr>
          <t>Mora-Perez, Octavio:</t>
        </r>
        <r>
          <rPr>
            <sz val="10"/>
            <color rgb="FF000000"/>
            <rFont val="Tahoma"/>
            <family val="2"/>
          </rPr>
          <t xml:space="preserve">
</t>
        </r>
        <r>
          <rPr>
            <sz val="10"/>
            <color rgb="FF000000"/>
            <rFont val="Tahoma"/>
            <family val="2"/>
          </rPr>
          <t>Via EDGAR 2023 10-K. Page 53.</t>
        </r>
      </text>
    </comment>
    <comment ref="N175" authorId="0" shapeId="0" xr:uid="{21D56E1E-BED3-4EE9-8836-9EA28F411F84}">
      <text>
        <r>
          <rPr>
            <b/>
            <sz val="10"/>
            <color rgb="FF000000"/>
            <rFont val="Tahoma"/>
            <family val="2"/>
          </rPr>
          <t>Mora-Perez, Octavio:</t>
        </r>
        <r>
          <rPr>
            <sz val="10"/>
            <color rgb="FF000000"/>
            <rFont val="Tahoma"/>
            <family val="2"/>
          </rPr>
          <t xml:space="preserve">
</t>
        </r>
        <r>
          <rPr>
            <sz val="10"/>
            <color rgb="FF000000"/>
            <rFont val="Tahoma"/>
            <family val="2"/>
          </rPr>
          <t>Via EDGAR 2023 10-K. Page 53.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Mora-Perez, Octavio</author>
  </authors>
  <commentList>
    <comment ref="A19" authorId="0" shapeId="0" xr:uid="{28CFE0A8-9422-4F23-B6D7-D0A35D08B117}">
      <text>
        <r>
          <rPr>
            <b/>
            <sz val="10"/>
            <color rgb="FF000000"/>
            <rFont val="Tahoma"/>
            <family val="2"/>
          </rPr>
          <t>Microsoft Office User:</t>
        </r>
        <r>
          <rPr>
            <sz val="10"/>
            <color rgb="FF000000"/>
            <rFont val="Tahoma"/>
            <family val="2"/>
          </rPr>
          <t xml:space="preserve">
</t>
        </r>
        <r>
          <rPr>
            <sz val="10"/>
            <color rgb="FF000000"/>
            <rFont val="Tahoma"/>
            <family val="2"/>
          </rPr>
          <t xml:space="preserve">This line was added by us to make the Inventory turnonver ratio
</t>
        </r>
      </text>
    </comment>
    <comment ref="A21" authorId="1" shapeId="0" xr:uid="{86B1ECC3-3B1E-4847-ACF7-566BD5E95207}">
      <text>
        <r>
          <rPr>
            <b/>
            <sz val="10"/>
            <color rgb="FF000000"/>
            <rFont val="Tahoma"/>
            <family val="2"/>
          </rPr>
          <t>Mora-Perez, Octavio:</t>
        </r>
        <r>
          <rPr>
            <sz val="10"/>
            <color rgb="FF000000"/>
            <rFont val="Tahoma"/>
            <family val="2"/>
          </rPr>
          <t xml:space="preserve">
</t>
        </r>
        <r>
          <rPr>
            <sz val="10"/>
            <color rgb="FF000000"/>
            <rFont val="Tahoma"/>
            <family val="2"/>
          </rPr>
          <t xml:space="preserve">From Cash Flow Statement
</t>
        </r>
      </text>
    </comment>
    <comment ref="A28" authorId="0" shapeId="0" xr:uid="{97B26BA0-4F6D-490F-A1B1-FF382AC0B6CE}">
      <text>
        <r>
          <rPr>
            <b/>
            <sz val="10"/>
            <color rgb="FF000000"/>
            <rFont val="Tahoma"/>
            <family val="2"/>
          </rPr>
          <t>Microsoft Office User:</t>
        </r>
        <r>
          <rPr>
            <sz val="10"/>
            <color rgb="FF000000"/>
            <rFont val="Tahoma"/>
            <family val="2"/>
          </rPr>
          <t xml:space="preserve">
</t>
        </r>
        <r>
          <rPr>
            <sz val="10"/>
            <color rgb="FF000000"/>
            <rFont val="Tahoma"/>
            <family val="2"/>
          </rPr>
          <t xml:space="preserve">This line is added in by us so we could more easily find the times 
</t>
        </r>
        <r>
          <rPr>
            <sz val="10"/>
            <color rgb="FF000000"/>
            <rFont val="Tahoma"/>
            <family val="2"/>
          </rPr>
          <t>interest earned ratio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Mora-Perez, Octavio</author>
  </authors>
  <commentList>
    <comment ref="A70" authorId="0" shapeId="0" xr:uid="{29F813AF-0147-491D-9369-E3BCB5A9F0FE}">
      <text>
        <r>
          <rPr>
            <b/>
            <sz val="10"/>
            <color rgb="FF000000"/>
            <rFont val="Tahoma"/>
            <family val="2"/>
          </rPr>
          <t>Mora-Perez, Octavio:</t>
        </r>
        <r>
          <rPr>
            <sz val="10"/>
            <color rgb="FF000000"/>
            <rFont val="Tahoma"/>
            <family val="2"/>
          </rPr>
          <t xml:space="preserve">
</t>
        </r>
        <r>
          <rPr>
            <sz val="10"/>
            <color rgb="FF000000"/>
            <rFont val="Tahoma"/>
            <family val="2"/>
          </rPr>
          <t xml:space="preserve">From Cash Flow Statement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Mora-Perez, Octavio</author>
  </authors>
  <commentList>
    <comment ref="A37" authorId="0" shapeId="0" xr:uid="{105031E2-62FA-4FE6-BC72-CFAB912C6D62}">
      <text>
        <r>
          <rPr>
            <b/>
            <sz val="10"/>
            <color rgb="FF000000"/>
            <rFont val="Tahoma"/>
            <family val="2"/>
          </rPr>
          <t>Mora-Perez, Octavio:</t>
        </r>
        <r>
          <rPr>
            <sz val="10"/>
            <color rgb="FF000000"/>
            <rFont val="Tahoma"/>
            <family val="2"/>
          </rPr>
          <t xml:space="preserve">
</t>
        </r>
        <r>
          <rPr>
            <sz val="10"/>
            <color rgb="FF000000"/>
            <rFont val="Tahoma"/>
            <family val="2"/>
          </rPr>
          <t xml:space="preserve">Line Item Original Name: Purchases of leasehold improvements, property, &amp; equipment.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2"/>
        </ext>
      </extLst>
    </bk>
  </futureMetadata>
  <cellMetadata count="1">
    <bk>
      <rc t="1" v="0"/>
    </bk>
  </cellMetadata>
  <valueMetadata count="1">
    <bk>
      <rc t="2" v="0"/>
    </bk>
  </valueMetadata>
</metadata>
</file>

<file path=xl/sharedStrings.xml><?xml version="1.0" encoding="utf-8"?>
<sst xmlns="http://schemas.openxmlformats.org/spreadsheetml/2006/main" count="844" uniqueCount="404">
  <si>
    <t>GENTEX (GNTX) VALUATION SUMMARY</t>
  </si>
  <si>
    <t>Valuation date</t>
  </si>
  <si>
    <t>Current share price</t>
  </si>
  <si>
    <t>Data for graph</t>
  </si>
  <si>
    <t>Inputs</t>
  </si>
  <si>
    <t>Methodology</t>
  </si>
  <si>
    <t>Low</t>
  </si>
  <si>
    <t>Dif.</t>
  </si>
  <si>
    <t>High</t>
  </si>
  <si>
    <t>52 week high-low</t>
  </si>
  <si>
    <t>Chipotle Mexican GrillValuation with Public Comparables</t>
  </si>
  <si>
    <t>Fiscal year ends in December USD in thousands except per share data.</t>
  </si>
  <si>
    <t xml:space="preserve">Valuation for period ended </t>
  </si>
  <si>
    <t>Ticker</t>
  </si>
  <si>
    <t>CMG</t>
  </si>
  <si>
    <t>Valuation Date</t>
  </si>
  <si>
    <t>Company Name</t>
  </si>
  <si>
    <t>Chipotle Mexican Grill</t>
  </si>
  <si>
    <t>Enterprise Value Multiples</t>
  </si>
  <si>
    <t>Equity Value Multiples</t>
  </si>
  <si>
    <t>Market Value</t>
  </si>
  <si>
    <t>Enterprise</t>
  </si>
  <si>
    <t>Forward</t>
  </si>
  <si>
    <t>5 year growth</t>
  </si>
  <si>
    <t>BV</t>
  </si>
  <si>
    <t>Price(Market)-</t>
  </si>
  <si>
    <t xml:space="preserve">Cash/MS as </t>
  </si>
  <si>
    <t>Company</t>
  </si>
  <si>
    <t>Share price</t>
  </si>
  <si>
    <t>of Equity</t>
  </si>
  <si>
    <t>Value</t>
  </si>
  <si>
    <t>EV/Sales</t>
  </si>
  <si>
    <t>EV/EBIT</t>
  </si>
  <si>
    <t>EV/EBITDA</t>
  </si>
  <si>
    <t>EPS</t>
  </si>
  <si>
    <t>rate</t>
  </si>
  <si>
    <t>Equity</t>
  </si>
  <si>
    <t>P/E</t>
  </si>
  <si>
    <t>PEG</t>
  </si>
  <si>
    <t>to-Book</t>
  </si>
  <si>
    <t>% of TA</t>
  </si>
  <si>
    <t>Cava Group Inc.</t>
  </si>
  <si>
    <t>CAVA</t>
  </si>
  <si>
    <t>Shake Shack</t>
  </si>
  <si>
    <t>SHAK</t>
  </si>
  <si>
    <t>YUM! Brands</t>
  </si>
  <si>
    <t>YUM</t>
  </si>
  <si>
    <t>Sweet Green</t>
  </si>
  <si>
    <t>SG</t>
  </si>
  <si>
    <t>Mean</t>
  </si>
  <si>
    <t>Median</t>
  </si>
  <si>
    <t>Implied price per share</t>
  </si>
  <si>
    <t>Diluted shares outstanding</t>
  </si>
  <si>
    <t>Implied Equity Value</t>
  </si>
  <si>
    <t>Implied Enterprise Value</t>
  </si>
  <si>
    <t>Range of EV/Sales</t>
  </si>
  <si>
    <t>Range of EV/EBIT</t>
  </si>
  <si>
    <t>Range of EV/EBITDA</t>
  </si>
  <si>
    <t>Range of Forward P/E</t>
  </si>
  <si>
    <t>Range of Forward PEG</t>
  </si>
  <si>
    <t>Range of Price-to-Book</t>
  </si>
  <si>
    <t>Excess Cash</t>
  </si>
  <si>
    <t>N/A</t>
  </si>
  <si>
    <t>Sector</t>
  </si>
  <si>
    <t>Consumer Discetionary</t>
  </si>
  <si>
    <t>Industry</t>
  </si>
  <si>
    <t>Restaurants</t>
  </si>
  <si>
    <t>Source</t>
  </si>
  <si>
    <t>Peers</t>
  </si>
  <si>
    <t>Proxy Statement</t>
  </si>
  <si>
    <t>S&amp;P 500 Restraunts Index: Mcdonald's, Starbcuk's, Domino's Pizza, Inc., Yum! Brands</t>
  </si>
  <si>
    <t>Chipotle 10k</t>
  </si>
  <si>
    <t xml:space="preserve"> "Among our main competitors are restaurant formats that claim to serve higher quality ingredients without artificial flavors, colors and preservatives, and that serve food quickly and at a reasonable price."</t>
  </si>
  <si>
    <t>In-N-Out (Private), Panera (JAB Holding Company), Shake Shack (SHAK), Sweet Green (SG), BurgerFi (BFI), Noodles &amp; Company (NDLS), QDOBA (Restraunt Brands International, Inc.) (QSR)</t>
  </si>
  <si>
    <t>SIC Code (5812)</t>
  </si>
  <si>
    <t>Papa Johns Int inc, Jack in the Box inc, Carrols Restaurant Group inc, CAVA Group inc, Potbelly Corp, El Pollo Loco Holdings, Boston Restaurant Associates inc</t>
  </si>
  <si>
    <t>Morningstar</t>
  </si>
  <si>
    <t>McDonald's Corp, Starbucks Corp, Yum! Brands Inc, Wendy's Co, Meritage Hospitality Group, Shake Shack, Sweetgreen, Good Times Restaurants, ARC Group inc, Wingstop Inc</t>
  </si>
  <si>
    <t>Seeking Alpha</t>
  </si>
  <si>
    <t>Meituan, Starbucks Corporation, Doordash, Inc. Compass Group PLC, Yum! Brands, Inc.</t>
  </si>
  <si>
    <t>Mergent</t>
  </si>
  <si>
    <t xml:space="preserve">ARC Group Inc, Ark Restaurants Corp, Boston Restaurant Associates, Inc., Briazz Inc, CAVA Group Inc, Carrols Corp. </t>
  </si>
  <si>
    <t>Include (Y/N)</t>
  </si>
  <si>
    <t>Revenues</t>
  </si>
  <si>
    <t>Gross Margin</t>
  </si>
  <si>
    <t>Net Income</t>
  </si>
  <si>
    <t>EBITDA</t>
  </si>
  <si>
    <t>Total Assets</t>
  </si>
  <si>
    <t>Total Liabilities</t>
  </si>
  <si>
    <t>PE Ratio</t>
  </si>
  <si>
    <t>Market Cap</t>
  </si>
  <si>
    <t>Employees</t>
  </si>
  <si>
    <t>Share Price</t>
  </si>
  <si>
    <t>ARC Group Inc</t>
  </si>
  <si>
    <t>N</t>
  </si>
  <si>
    <t>-</t>
  </si>
  <si>
    <t>Ark Restaurants Corp</t>
  </si>
  <si>
    <t>Boston Restaurant Associates, Inc.</t>
  </si>
  <si>
    <t>Briazz Inc.</t>
  </si>
  <si>
    <t>CAVA Group Inc</t>
  </si>
  <si>
    <t>Y</t>
  </si>
  <si>
    <t>Carrols Corp.</t>
  </si>
  <si>
    <t>Carrols Restaurant Group Inc</t>
  </si>
  <si>
    <t>Chipotle Mexican Grill Inc</t>
  </si>
  <si>
    <t>x</t>
  </si>
  <si>
    <t>Dominos Pizza Inc.</t>
  </si>
  <si>
    <t>El Pollo Loco Holdings Inc</t>
  </si>
  <si>
    <t>Good Times Restaurants Inc.</t>
  </si>
  <si>
    <t>I.C.H. Corp.</t>
  </si>
  <si>
    <t>Jack in the Box, Inc.</t>
  </si>
  <si>
    <t xml:space="preserve">McDonald's Corp  </t>
  </si>
  <si>
    <t>Proxy, 10k, Mergent</t>
  </si>
  <si>
    <t>Meritage Hospitality Group Inc</t>
  </si>
  <si>
    <t>Papa John's International, Inc.</t>
  </si>
  <si>
    <t>Potbelly Corp</t>
  </si>
  <si>
    <t>RCI Hospitality Holdings Inc</t>
  </si>
  <si>
    <t>Sadot Group Inc</t>
  </si>
  <si>
    <t>Shake Shack Inc</t>
  </si>
  <si>
    <t>10k, Mergent</t>
  </si>
  <si>
    <t xml:space="preserve">Starbucks Corp.  </t>
  </si>
  <si>
    <t>Sweetgreen Inc</t>
  </si>
  <si>
    <t>Uwink Inc. Delaware</t>
  </si>
  <si>
    <t>Wendy's Co (The)</t>
  </si>
  <si>
    <t xml:space="preserve">Winter Sports Inc  </t>
  </si>
  <si>
    <t>Yum China Holdings Inc</t>
  </si>
  <si>
    <t>Yum! Brands Inc</t>
  </si>
  <si>
    <t xml:space="preserve">Valuation Date </t>
  </si>
  <si>
    <t>FORECASTING CASH FLOWS</t>
  </si>
  <si>
    <t>Historical</t>
  </si>
  <si>
    <t>Projected</t>
  </si>
  <si>
    <t>Total Revenue</t>
  </si>
  <si>
    <t>COGS</t>
  </si>
  <si>
    <t>Gross Profit</t>
  </si>
  <si>
    <t>General &amp; administrative expenses</t>
  </si>
  <si>
    <t>Pre-Opening Costs</t>
  </si>
  <si>
    <t>Gain (loss) on disposal &amp; impairment of assets</t>
  </si>
  <si>
    <t>Total Expenses</t>
  </si>
  <si>
    <t>EBIT</t>
  </si>
  <si>
    <t>Taxes</t>
  </si>
  <si>
    <t>Tax-effected EBIT</t>
  </si>
  <si>
    <t>Depreciation &amp; amortization</t>
  </si>
  <si>
    <t>CAPEX</t>
  </si>
  <si>
    <t>Net Working Capital</t>
  </si>
  <si>
    <t>Change in Net Working Capital</t>
  </si>
  <si>
    <t>Unlevered free cash flows</t>
  </si>
  <si>
    <t>Assumptions</t>
  </si>
  <si>
    <t>Revenue Growth</t>
  </si>
  <si>
    <t>Step</t>
  </si>
  <si>
    <t>COGS as % of Revenue</t>
  </si>
  <si>
    <t>SG&amp;A as % of Revenue</t>
  </si>
  <si>
    <t>D&amp;A as % of Revenue</t>
  </si>
  <si>
    <t>Capex as % of Revenue</t>
  </si>
  <si>
    <t>Pre-Opening Costs as % of Revenue</t>
  </si>
  <si>
    <t xml:space="preserve">Gain (loss) on disposal &amp; impairment of assets as % of Revenue </t>
  </si>
  <si>
    <t>Gross Margin as % of Revenue</t>
  </si>
  <si>
    <t>TERMINAL VALUE AND EQUITY VALUE PER SHARE</t>
  </si>
  <si>
    <t>Terminal Value - Perpetuity Growth</t>
  </si>
  <si>
    <t>Terminal Value - Exit Multiple</t>
  </si>
  <si>
    <t>Option Drag</t>
  </si>
  <si>
    <t>WACC - for terminal value</t>
  </si>
  <si>
    <t>Unlevered FCF in terminal year</t>
  </si>
  <si>
    <t>Terminal year EBITDA</t>
  </si>
  <si>
    <t>Implied Equity Value (Using TV)</t>
  </si>
  <si>
    <t>Terminal growth rate</t>
  </si>
  <si>
    <t>Terminal year EBITDA multiple</t>
  </si>
  <si>
    <t>Basic Shares</t>
  </si>
  <si>
    <t>Terminal value</t>
  </si>
  <si>
    <t>Value of Options</t>
  </si>
  <si>
    <t>WACC - current</t>
  </si>
  <si>
    <t>Implied Equity Value per Share</t>
  </si>
  <si>
    <t>PV of Terminal Value</t>
  </si>
  <si>
    <t>Treasury Outstanding Options</t>
  </si>
  <si>
    <t>PV of Unlevered FCF's</t>
  </si>
  <si>
    <t>PV of Unlevered Free Cash Flows</t>
  </si>
  <si>
    <t>Total Enterprise Value</t>
  </si>
  <si>
    <t>Diluted Shares Outstanding</t>
  </si>
  <si>
    <t>Net debt + Preferred stock + NCI</t>
  </si>
  <si>
    <t>Total Proceeds</t>
  </si>
  <si>
    <t>WORKING CAPITAL SCHEDULE</t>
  </si>
  <si>
    <t>Total current assets</t>
  </si>
  <si>
    <t>Cash &amp; cash equivalents</t>
  </si>
  <si>
    <t>Total Non-Cash Current Assets</t>
  </si>
  <si>
    <t>Total current liabilities</t>
  </si>
  <si>
    <t>Current Portion LTD (Current operating lease liabilities)</t>
  </si>
  <si>
    <t>Total Non-Debt Current Liabilities</t>
  </si>
  <si>
    <t>Non-cash Net Working Capital</t>
  </si>
  <si>
    <t>Change in NWC</t>
  </si>
  <si>
    <t>Non-cash NWC as a % of Sale</t>
  </si>
  <si>
    <t xml:space="preserve"> bnmmm</t>
  </si>
  <si>
    <t>WACC</t>
  </si>
  <si>
    <t>(Numbers in Thousands)</t>
  </si>
  <si>
    <t>Current</t>
  </si>
  <si>
    <t>Percent of Capital</t>
  </si>
  <si>
    <t>Total debt</t>
  </si>
  <si>
    <t xml:space="preserve">Share price </t>
  </si>
  <si>
    <t>Diluted Shares O</t>
  </si>
  <si>
    <t>Shares outstanding</t>
  </si>
  <si>
    <t>UPDATE W DILUTED SHARES</t>
  </si>
  <si>
    <t>Market value of equity</t>
  </si>
  <si>
    <t>Weight of debt</t>
  </si>
  <si>
    <t>Weight of equity</t>
  </si>
  <si>
    <t>Cost of debt</t>
  </si>
  <si>
    <t>Pre-tax cost of debt</t>
  </si>
  <si>
    <t>Default Spread</t>
  </si>
  <si>
    <t>Marginal tax rate</t>
  </si>
  <si>
    <t>Cost of equity</t>
  </si>
  <si>
    <t>Risk-free rate</t>
  </si>
  <si>
    <t>Market risk premium (Rm - Rf)</t>
  </si>
  <si>
    <t>Beta</t>
  </si>
  <si>
    <t>Weighted average cost of capital</t>
  </si>
  <si>
    <t>BOTTOM UP BETA</t>
  </si>
  <si>
    <t>MV</t>
  </si>
  <si>
    <t>Book Value</t>
  </si>
  <si>
    <t>Debt/</t>
  </si>
  <si>
    <t>Reg</t>
  </si>
  <si>
    <t>Unlevered</t>
  </si>
  <si>
    <t xml:space="preserve">Marginal </t>
  </si>
  <si>
    <t>Debt</t>
  </si>
  <si>
    <t>Tax Rate</t>
  </si>
  <si>
    <t>Yum Brands Inc. (taco bell)</t>
  </si>
  <si>
    <t>Shake Shakc Inc.</t>
  </si>
  <si>
    <t xml:space="preserve">Sweetgreen Inc. </t>
  </si>
  <si>
    <t>Average unlevered beta</t>
  </si>
  <si>
    <t>Chipotle Debt/Equity Ratio</t>
  </si>
  <si>
    <t xml:space="preserve">Tax Rate </t>
  </si>
  <si>
    <t>Levered Beta</t>
  </si>
  <si>
    <t>SENSITIVITY ANALYSIS</t>
  </si>
  <si>
    <t> </t>
  </si>
  <si>
    <t>WACC Step (r )</t>
  </si>
  <si>
    <t>Growth Step (g)</t>
  </si>
  <si>
    <t>Exit Multiple Step</t>
  </si>
  <si>
    <t>Exit Multiple</t>
  </si>
  <si>
    <t>DILUTED SHARES</t>
  </si>
  <si>
    <t>Treasury with a Twist- All Outstanding Options</t>
  </si>
  <si>
    <t>Treasury Method- All Outstanding Options</t>
  </si>
  <si>
    <t>Basic share count</t>
  </si>
  <si>
    <t>Outstanding options</t>
  </si>
  <si>
    <t>Oustanding options</t>
  </si>
  <si>
    <t>Exercise price</t>
  </si>
  <si>
    <t>In-the-money options</t>
  </si>
  <si>
    <t>Total proceeds</t>
  </si>
  <si>
    <t>Total shares repurchased</t>
  </si>
  <si>
    <t>Unvested RSUs</t>
  </si>
  <si>
    <t>Powered by Clearbit</t>
  </si>
  <si>
    <t>Chipotle Mexican Grill Inc (NYS: CMG)</t>
  </si>
  <si>
    <t>NUMBERS IN THOUSANDS</t>
  </si>
  <si>
    <t>COMMON SIZE INCOME STATEMENT</t>
  </si>
  <si>
    <t>Report Date</t>
  </si>
  <si>
    <t>Food &amp; beverage revenue</t>
  </si>
  <si>
    <t>Delivery service revenue</t>
  </si>
  <si>
    <t>Total revenue</t>
  </si>
  <si>
    <t>Restaurant operating costs - food, beverage &amp; packaging</t>
  </si>
  <si>
    <t>Restaurant operating costs - labor</t>
  </si>
  <si>
    <t>Restaurant operating costs - occupancy</t>
  </si>
  <si>
    <t>Restaurant operating costs - other operating costs</t>
  </si>
  <si>
    <t>Pre-opening costs</t>
  </si>
  <si>
    <t>Total operating expenses</t>
  </si>
  <si>
    <t>Income (loss) from operations</t>
  </si>
  <si>
    <t>Interest &amp; other income</t>
  </si>
  <si>
    <t>Interest &amp; other income (expense), net</t>
  </si>
  <si>
    <t>Total Interest</t>
  </si>
  <si>
    <t>Income (loss) before income taxes - domestic</t>
  </si>
  <si>
    <t>Income (loss) before income taxes - foreign</t>
  </si>
  <si>
    <t>Income (loss) before income taxes</t>
  </si>
  <si>
    <t>Provision (benefit) for current income taxes - U.S. federal</t>
  </si>
  <si>
    <t>Provision (benefit) for current income taxes - U.S. state</t>
  </si>
  <si>
    <t>Provision (benefit) for current income taxes - foreign</t>
  </si>
  <si>
    <t>Total provision (benefit) for current income taxes</t>
  </si>
  <si>
    <t>Provision (benefit) for deferred income taxes - U.S. federal</t>
  </si>
  <si>
    <t>Provision (benefit) for deferred income taxes - U.S. state</t>
  </si>
  <si>
    <t>Provision (benefit) for deferred income taxes - foreign</t>
  </si>
  <si>
    <t>Total provision (benefit) for deferred income taxes</t>
  </si>
  <si>
    <t>Valuation allowance</t>
  </si>
  <si>
    <t>Provision (benefit) for income taxes</t>
  </si>
  <si>
    <t>Net income (loss)</t>
  </si>
  <si>
    <t>COMMON SIZE BALANCE SHEET</t>
  </si>
  <si>
    <t>Accounts receivable, gross</t>
  </si>
  <si>
    <t>Less: allowance for credit losses</t>
  </si>
  <si>
    <t>Less: allowance for doubtful accounts</t>
  </si>
  <si>
    <t>Accounts receivable, net</t>
  </si>
  <si>
    <t>Inventory</t>
  </si>
  <si>
    <t>Prepaid expenses</t>
  </si>
  <si>
    <t>Prepaid expenses &amp; other current assets</t>
  </si>
  <si>
    <t>Income tax receivable</t>
  </si>
  <si>
    <t>Investments - available for sale</t>
  </si>
  <si>
    <t>Prepaid expenses and other current assets</t>
  </si>
  <si>
    <t>Land</t>
  </si>
  <si>
    <t>Leasehold improvements &amp; buildings</t>
  </si>
  <si>
    <t>Furniture &amp; fixtures</t>
  </si>
  <si>
    <t>Equipment</t>
  </si>
  <si>
    <t>Construction in Progress</t>
  </si>
  <si>
    <t>Land-NBV</t>
  </si>
  <si>
    <t>Leasehold improvements and buildings</t>
  </si>
  <si>
    <t>Leasehold improvements, property &amp; equipment, gross</t>
  </si>
  <si>
    <t>Less: accumulated depreciation</t>
  </si>
  <si>
    <t>Leasehold improvements, property &amp; equipment, net</t>
  </si>
  <si>
    <t>PP&amp;E</t>
  </si>
  <si>
    <t>Long term investments</t>
  </si>
  <si>
    <t>Long term investments - available for sale</t>
  </si>
  <si>
    <t>Other assets</t>
  </si>
  <si>
    <t>Restricted cash</t>
  </si>
  <si>
    <t>Operating lease assets</t>
  </si>
  <si>
    <t>Goodwill</t>
  </si>
  <si>
    <t>Total assets</t>
  </si>
  <si>
    <t>Accounts payable</t>
  </si>
  <si>
    <t>Worker's compensation liability</t>
  </si>
  <si>
    <t>Accrued payroll</t>
  </si>
  <si>
    <t>Accrued payroll &amp; bonuses</t>
  </si>
  <si>
    <t>Accrued employer payroll taxes, deferred pursuant to the CARES Act</t>
  </si>
  <si>
    <t>Other accrued payroll &amp; benefits</t>
  </si>
  <si>
    <t>Accrued payroll &amp; benefits</t>
  </si>
  <si>
    <t>Transaction tax payable</t>
  </si>
  <si>
    <t>Sales &amp; use tax payable</t>
  </si>
  <si>
    <t>Legal reserve liability</t>
  </si>
  <si>
    <t>Data security incident liability</t>
  </si>
  <si>
    <t>Other accrued expenses</t>
  </si>
  <si>
    <t>Accrued liabilities</t>
  </si>
  <si>
    <t>Unearned revenue</t>
  </si>
  <si>
    <t>Long-term operating lease liabilities</t>
  </si>
  <si>
    <t>Deferred income tax liability</t>
  </si>
  <si>
    <t>Other liabilities</t>
  </si>
  <si>
    <t>Total liabilities</t>
  </si>
  <si>
    <t>Common stock</t>
  </si>
  <si>
    <t>Additional paid-in capital</t>
  </si>
  <si>
    <t>Treasury stock, at cost</t>
  </si>
  <si>
    <t>Accumulated other comprehensive income (loss)</t>
  </si>
  <si>
    <t>Retained earnings (accumulated deficit)</t>
  </si>
  <si>
    <t>Total shareholders' equity (deficit)</t>
  </si>
  <si>
    <t>Total Equity</t>
  </si>
  <si>
    <t xml:space="preserve">Exchange rate used is that of the Year End reported date </t>
  </si>
  <si>
    <t>Numbers in Thousands</t>
  </si>
  <si>
    <t>YEAR</t>
  </si>
  <si>
    <t>Amortization of operating lease assets</t>
  </si>
  <si>
    <t>Deferred income tax provision (benefit)</t>
  </si>
  <si>
    <t>Loss on disposal &amp; impairment of assets</t>
  </si>
  <si>
    <t>Provision for credit losses</t>
  </si>
  <si>
    <t>Bad debt allowance</t>
  </si>
  <si>
    <t>Stock-based compensation expense</t>
  </si>
  <si>
    <t>Other adjustments</t>
  </si>
  <si>
    <t>Accounts receivable</t>
  </si>
  <si>
    <t>Income tax payable or receivable</t>
  </si>
  <si>
    <t>Deferred rent</t>
  </si>
  <si>
    <t>Operating lease liabilities</t>
  </si>
  <si>
    <t>Other long-term liabilities</t>
  </si>
  <si>
    <t>Net cash flows from operating activities</t>
  </si>
  <si>
    <t>Purchases of investments</t>
  </si>
  <si>
    <t>Maturities of investments</t>
  </si>
  <si>
    <t>Proceeds from sale of equipment</t>
  </si>
  <si>
    <t>Acquisitions of equity method investments</t>
  </si>
  <si>
    <t>Proceeds from sale of investments</t>
  </si>
  <si>
    <t>Net cash flows from investing activities</t>
  </si>
  <si>
    <t>Acquisition of treasury stock</t>
  </si>
  <si>
    <t>Tax withholding on stock-based compensation awards</t>
  </si>
  <si>
    <t>Stock plan transactions &amp; other financing activities</t>
  </si>
  <si>
    <t>Other financing payments</t>
  </si>
  <si>
    <t>Net cash flows from financing activities</t>
  </si>
  <si>
    <t>Effect of exchange rate changes on cash, cash equivalents &amp; restricted cash</t>
  </si>
  <si>
    <t>Net change in cash, cash equivalents, &amp; restricted cash</t>
  </si>
  <si>
    <t>Cash, cash equivalents, &amp; restricted cash at beginning of year</t>
  </si>
  <si>
    <t>Cash, cash equivalents, &amp; restricted cash at end of year</t>
  </si>
  <si>
    <t>Income taxes paid (refunded)</t>
  </si>
  <si>
    <t>Valuing Options or Warrants</t>
  </si>
  <si>
    <t>Enter the current stock price =</t>
  </si>
  <si>
    <t>Enter the strike price on the option =</t>
  </si>
  <si>
    <t>Enter the expiration of the option =</t>
  </si>
  <si>
    <t>Enter the standard deviation in stock prices =</t>
  </si>
  <si>
    <t>(volatility)</t>
  </si>
  <si>
    <t>Enter the annualized dividend yield on stock =</t>
  </si>
  <si>
    <t>Enter the treasury bond rate =</t>
  </si>
  <si>
    <t>Enter the number of options outstanding =</t>
  </si>
  <si>
    <t>Enter the number of shares outstanding =</t>
  </si>
  <si>
    <t>Circuit Breaker</t>
  </si>
  <si>
    <t>ON</t>
  </si>
  <si>
    <t>Do not input any numbers below this line</t>
  </si>
  <si>
    <t>VALUING WARRANTS WHEN THERE IS DILUTION</t>
  </si>
  <si>
    <t>Stock Price=</t>
  </si>
  <si>
    <t># Warrants issued=</t>
  </si>
  <si>
    <t>Strike Price=</t>
  </si>
  <si>
    <t># Shares outstanding=</t>
  </si>
  <si>
    <t>Adjusted S =</t>
  </si>
  <si>
    <t>T.Bond rate=</t>
  </si>
  <si>
    <t>Adjusted K =</t>
  </si>
  <si>
    <t>Variance=</t>
  </si>
  <si>
    <t>Expiration (in years) =</t>
  </si>
  <si>
    <t>Annualized dividend yield=</t>
  </si>
  <si>
    <t>Div. Adj. interest rate=</t>
  </si>
  <si>
    <t xml:space="preserve">d1 = </t>
  </si>
  <si>
    <t>N (d1) =</t>
  </si>
  <si>
    <t xml:space="preserve">d2 = </t>
  </si>
  <si>
    <t>N (d2) =</t>
  </si>
  <si>
    <t xml:space="preserve">Value per option = </t>
  </si>
  <si>
    <t>Value of all options outstanding =</t>
  </si>
  <si>
    <t>LTM Calculations For</t>
  </si>
  <si>
    <t>Fiscal year ended</t>
  </si>
  <si>
    <t>X-months ended</t>
  </si>
  <si>
    <t>LTM</t>
  </si>
  <si>
    <t>As of</t>
  </si>
  <si>
    <t>Net debt</t>
  </si>
  <si>
    <t>Preferred stock</t>
  </si>
  <si>
    <t>Non-controlling Interest</t>
  </si>
  <si>
    <t>Cash/MS</t>
  </si>
  <si>
    <t>7076 </t>
  </si>
  <si>
    <t>2318 </t>
  </si>
  <si>
    <t>584041 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</si>
</sst>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409]d\-mmm\-yy;@"/>
    <numFmt numFmtId="165" formatCode="#,##0.0_);\(#,##0.0\)"/>
    <numFmt numFmtId="166" formatCode="0.0\x"/>
    <numFmt numFmtId="167" formatCode="0.0%_);\(0.0%\)"/>
    <numFmt numFmtId="168" formatCode="_([$$-409]* #,##0.00_);_([$$-409]* \(#,##0.00\);_([$$-409]* &quot;-&quot;??_);_(@_)"/>
    <numFmt numFmtId="169" formatCode="0&quot;A&quot;"/>
    <numFmt numFmtId="170" formatCode="0&quot;E&quot;"/>
    <numFmt numFmtId="171" formatCode="_(&quot;$&quot;* #,##0_);_(&quot;$&quot;* \(#,##0\);_(&quot;$&quot;* &quot;-&quot;??_);_(@_)"/>
    <numFmt numFmtId="172" formatCode="_(* #,##0_);_(* \(#,##0\);_(* &quot;-&quot;??_);_(@_)"/>
    <numFmt numFmtId="173" formatCode="0.0%"/>
    <numFmt numFmtId="174" formatCode="&quot;$&quot;#,##0.0_);\(&quot;$&quot;#,##0.0\)"/>
    <numFmt numFmtId="175" formatCode="_([$$-409]* #,##0_);_([$$-409]* \(#,##0\);_([$$-409]* &quot;-&quot;??_);_(@_)"/>
    <numFmt numFmtId="176" formatCode="#,##0.0000"/>
    <numFmt numFmtId="177" formatCode="0.0000"/>
    <numFmt numFmtId="178" formatCode="0.000"/>
    <numFmt numFmtId="179" formatCode="&quot;$&quot;#,##0.00"/>
    <numFmt numFmtId="180" formatCode="&quot;$&quot;0.00"/>
    <numFmt numFmtId="181" formatCode="#,##0.000_);\(#,##0.000\)"/>
  </numFmts>
  <fonts count="62" x14ac:knownFonts="1">
    <font>
      <sz val="11"/>
      <color theme="1"/>
      <name val="Aptos Narrow"/>
      <family val="2"/>
      <scheme val="minor"/>
    </font>
    <font>
      <sz val="11"/>
      <color theme="1"/>
      <name val="Aptos Narrow"/>
      <family val="2"/>
      <scheme val="minor"/>
    </font>
    <font>
      <b/>
      <sz val="11"/>
      <color theme="1"/>
      <name val="Aptos Narrow"/>
      <family val="2"/>
      <scheme val="minor"/>
    </font>
    <font>
      <b/>
      <sz val="10"/>
      <name val="Arial"/>
      <family val="2"/>
    </font>
    <font>
      <sz val="10"/>
      <name val="Arial"/>
      <family val="2"/>
    </font>
    <font>
      <b/>
      <sz val="20"/>
      <color theme="1"/>
      <name val="Times New Roman"/>
      <family val="1"/>
    </font>
    <font>
      <sz val="11"/>
      <color theme="1"/>
      <name val="Times New Roman"/>
      <family val="1"/>
    </font>
    <font>
      <i/>
      <sz val="11"/>
      <color theme="1"/>
      <name val="Times New Roman"/>
      <family val="1"/>
    </font>
    <font>
      <b/>
      <sz val="11"/>
      <color theme="1"/>
      <name val="Times New Roman"/>
      <family val="1"/>
    </font>
    <font>
      <sz val="11"/>
      <color rgb="FF0070C0"/>
      <name val="Times New Roman"/>
      <family val="1"/>
    </font>
    <font>
      <sz val="11"/>
      <color rgb="FF002060"/>
      <name val="Times New Roman"/>
      <family val="1"/>
    </font>
    <font>
      <sz val="11"/>
      <name val="Times New Roman"/>
      <family val="1"/>
    </font>
    <font>
      <b/>
      <i/>
      <sz val="11"/>
      <color theme="0"/>
      <name val="Times New Roman"/>
      <family val="1"/>
    </font>
    <font>
      <b/>
      <sz val="11"/>
      <color theme="0"/>
      <name val="Times New Roman"/>
      <family val="1"/>
    </font>
    <font>
      <b/>
      <sz val="11"/>
      <color rgb="FF0070C0"/>
      <name val="Times New Roman"/>
      <family val="1"/>
    </font>
    <font>
      <b/>
      <sz val="10"/>
      <color rgb="FF00B050"/>
      <name val="Arial"/>
      <family val="2"/>
    </font>
    <font>
      <sz val="10"/>
      <color rgb="FF00B050"/>
      <name val="Arial"/>
      <family val="2"/>
    </font>
    <font>
      <b/>
      <sz val="10"/>
      <color theme="1"/>
      <name val="Arial"/>
      <family val="2"/>
    </font>
    <font>
      <sz val="10"/>
      <color theme="1"/>
      <name val="Arial"/>
      <family val="2"/>
    </font>
    <font>
      <b/>
      <sz val="10"/>
      <color rgb="FF000000"/>
      <name val="Arial"/>
      <family val="2"/>
    </font>
    <font>
      <b/>
      <sz val="11"/>
      <name val="Times New Roman"/>
      <family val="1"/>
    </font>
    <font>
      <sz val="10"/>
      <color theme="8"/>
      <name val="Arial"/>
      <family val="2"/>
    </font>
    <font>
      <sz val="10"/>
      <color rgb="FF0070C0"/>
      <name val="Arial"/>
      <family val="2"/>
    </font>
    <font>
      <sz val="11"/>
      <color rgb="FF00B050"/>
      <name val="Times New Roman"/>
      <family val="1"/>
    </font>
    <font>
      <sz val="10"/>
      <color rgb="FF000000"/>
      <name val="Arial"/>
      <family val="2"/>
    </font>
    <font>
      <sz val="11"/>
      <color theme="8"/>
      <name val="Times New Roman"/>
      <family val="1"/>
    </font>
    <font>
      <sz val="11"/>
      <color rgb="FFFF0000"/>
      <name val="Times New Roman"/>
      <family val="1"/>
    </font>
    <font>
      <sz val="11"/>
      <color theme="4"/>
      <name val="Times New Roman"/>
      <family val="1"/>
    </font>
    <font>
      <b/>
      <sz val="10"/>
      <color rgb="FF000000"/>
      <name val="Tahoma"/>
      <family val="2"/>
    </font>
    <font>
      <sz val="10"/>
      <color rgb="FF000000"/>
      <name val="Tahoma"/>
      <family val="2"/>
    </font>
    <font>
      <sz val="10"/>
      <color theme="9"/>
      <name val="Arial"/>
      <family val="2"/>
    </font>
    <font>
      <sz val="8"/>
      <color rgb="FF000000"/>
      <name val="Arial"/>
      <family val="2"/>
    </font>
    <font>
      <b/>
      <sz val="16"/>
      <color rgb="FF000000"/>
      <name val="Arial"/>
      <family val="2"/>
    </font>
    <font>
      <b/>
      <sz val="14"/>
      <name val="Geneva"/>
      <family val="2"/>
    </font>
    <font>
      <b/>
      <sz val="14"/>
      <name val="Times"/>
      <family val="1"/>
    </font>
    <font>
      <sz val="10"/>
      <name val="Times"/>
      <family val="1"/>
    </font>
    <font>
      <sz val="10"/>
      <color theme="9"/>
      <name val="Times"/>
      <family val="1"/>
    </font>
    <font>
      <sz val="10"/>
      <color theme="4"/>
      <name val="Times"/>
      <family val="1"/>
    </font>
    <font>
      <i/>
      <sz val="10"/>
      <name val="Geneva"/>
      <family val="2"/>
    </font>
    <font>
      <b/>
      <i/>
      <sz val="10"/>
      <name val="Times"/>
      <family val="1"/>
    </font>
    <font>
      <i/>
      <sz val="10"/>
      <name val="Times"/>
      <family val="1"/>
    </font>
    <font>
      <b/>
      <sz val="10"/>
      <name val="Times"/>
      <family val="1"/>
    </font>
    <font>
      <b/>
      <sz val="12"/>
      <name val="Times New Roman"/>
      <family val="1"/>
    </font>
    <font>
      <sz val="11"/>
      <color rgb="FF0070C0"/>
      <name val="Aptos Narrow"/>
      <family val="2"/>
      <scheme val="minor"/>
    </font>
    <font>
      <u/>
      <sz val="11"/>
      <color theme="10"/>
      <name val="Aptos Narrow"/>
      <family val="2"/>
      <scheme val="minor"/>
    </font>
    <font>
      <i/>
      <sz val="11"/>
      <color theme="1"/>
      <name val="Aptos Narrow"/>
      <family val="2"/>
      <scheme val="minor"/>
    </font>
    <font>
      <sz val="10"/>
      <color rgb="FF000000"/>
      <name val="Times New Roman"/>
      <family val="1"/>
    </font>
    <font>
      <b/>
      <sz val="12"/>
      <color theme="1"/>
      <name val="Times New Roman"/>
      <family val="1"/>
    </font>
    <font>
      <sz val="12"/>
      <color theme="1"/>
      <name val="Times New Roman"/>
      <family val="1"/>
    </font>
    <font>
      <sz val="9"/>
      <color indexed="81"/>
      <name val="Tahoma"/>
      <family val="2"/>
    </font>
    <font>
      <b/>
      <sz val="9"/>
      <color indexed="81"/>
      <name val="Tahoma"/>
      <family val="2"/>
    </font>
    <font>
      <sz val="10"/>
      <color rgb="FF0070C0"/>
      <name val="Times New Roman"/>
      <family val="1"/>
    </font>
    <font>
      <sz val="11"/>
      <color rgb="FF000000"/>
      <name val="Times New Roman"/>
      <family val="1"/>
    </font>
    <font>
      <b/>
      <sz val="11"/>
      <color rgb="FF000000"/>
      <name val="Times New Roman"/>
      <family val="1"/>
    </font>
    <font>
      <b/>
      <sz val="11"/>
      <color rgb="FF5B9BD5"/>
      <name val="Times New Roman"/>
      <family val="1"/>
    </font>
    <font>
      <sz val="10"/>
      <name val="Times New Roman"/>
      <family val="1"/>
    </font>
    <font>
      <u/>
      <sz val="11"/>
      <color theme="10"/>
      <name val="Times New Roman"/>
      <family val="1"/>
    </font>
    <font>
      <b/>
      <sz val="10"/>
      <name val="Times New Roman"/>
      <family val="1"/>
    </font>
    <font>
      <sz val="9"/>
      <color rgb="FF000000"/>
      <name val="Arial"/>
      <family val="2"/>
    </font>
    <font>
      <sz val="11"/>
      <color theme="3" tint="0.499984740745262"/>
      <name val="Aptos Narrow"/>
      <family val="2"/>
      <scheme val="minor"/>
    </font>
    <font>
      <sz val="9"/>
      <color theme="3" tint="0.499984740745262"/>
      <name val="Arial"/>
      <family val="2"/>
    </font>
    <font>
      <sz val="9"/>
      <color rgb="FF000000"/>
      <name val="Arial"/>
      <family val="2"/>
    </font>
  </fonts>
  <fills count="13">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rgb="FF002060"/>
        <bgColor indexed="64"/>
      </patternFill>
    </fill>
    <fill>
      <patternFill patternType="solid">
        <fgColor theme="9"/>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rgb="FFFF0000"/>
        <bgColor indexed="64"/>
      </patternFill>
    </fill>
    <fill>
      <patternFill patternType="solid">
        <fgColor theme="0"/>
        <bgColor indexed="64"/>
      </patternFill>
    </fill>
    <fill>
      <patternFill patternType="solid">
        <fgColor rgb="FF00B050"/>
        <bgColor indexed="64"/>
      </patternFill>
    </fill>
  </fills>
  <borders count="23">
    <border>
      <left/>
      <right/>
      <top/>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indexed="64"/>
      </right>
      <top style="thin">
        <color auto="1"/>
      </top>
      <bottom/>
      <diagonal/>
    </border>
    <border>
      <left/>
      <right style="thin">
        <color auto="1"/>
      </right>
      <top/>
      <bottom style="thin">
        <color auto="1"/>
      </bottom>
      <diagonal/>
    </border>
    <border>
      <left style="thin">
        <color auto="1"/>
      </left>
      <right/>
      <top/>
      <bottom/>
      <diagonal/>
    </border>
    <border>
      <left/>
      <right style="thin">
        <color indexed="64"/>
      </right>
      <top/>
      <bottom/>
      <diagonal/>
    </border>
    <border>
      <left/>
      <right/>
      <top/>
      <bottom style="medium">
        <color auto="1"/>
      </bottom>
      <diagonal/>
    </border>
    <border>
      <left/>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rgb="FF000000"/>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4" fillId="0" borderId="0" applyFill="0"/>
    <xf numFmtId="44"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1" fillId="0" borderId="0"/>
    <xf numFmtId="0" fontId="1" fillId="0" borderId="0"/>
    <xf numFmtId="0" fontId="44" fillId="0" borderId="0" applyNumberFormat="0" applyFill="0" applyBorder="0" applyAlignment="0" applyProtection="0"/>
    <xf numFmtId="0" fontId="1" fillId="0" borderId="0"/>
  </cellStyleXfs>
  <cellXfs count="414">
    <xf numFmtId="0" fontId="0" fillId="0" borderId="0" xfId="0"/>
    <xf numFmtId="0" fontId="3" fillId="0" borderId="0" xfId="0" applyFont="1"/>
    <xf numFmtId="0" fontId="4" fillId="0" borderId="0" xfId="0" applyFont="1" applyAlignment="1">
      <alignment vertical="center"/>
    </xf>
    <xf numFmtId="0" fontId="4" fillId="0" borderId="0" xfId="0" applyFont="1"/>
    <xf numFmtId="0" fontId="0" fillId="0" borderId="0" xfId="0" applyAlignment="1">
      <alignment vertical="top"/>
    </xf>
    <xf numFmtId="0" fontId="6" fillId="0" borderId="0" xfId="0" applyFont="1"/>
    <xf numFmtId="0" fontId="6" fillId="0" borderId="0" xfId="5" applyFont="1"/>
    <xf numFmtId="0" fontId="6" fillId="0" borderId="1" xfId="5" applyFont="1" applyBorder="1"/>
    <xf numFmtId="0" fontId="6" fillId="0" borderId="4" xfId="5" applyFont="1" applyBorder="1" applyAlignment="1">
      <alignment horizontal="left"/>
    </xf>
    <xf numFmtId="0" fontId="6" fillId="0" borderId="6" xfId="5" applyFont="1" applyBorder="1"/>
    <xf numFmtId="168" fontId="6" fillId="0" borderId="7" xfId="5" applyNumberFormat="1" applyFont="1" applyBorder="1" applyAlignment="1">
      <alignment horizontal="left"/>
    </xf>
    <xf numFmtId="0" fontId="6" fillId="0" borderId="2" xfId="5" applyFont="1" applyBorder="1"/>
    <xf numFmtId="14" fontId="6" fillId="0" borderId="5" xfId="5" applyNumberFormat="1" applyFont="1" applyBorder="1" applyAlignment="1">
      <alignment horizontal="left"/>
    </xf>
    <xf numFmtId="0" fontId="6" fillId="0" borderId="7" xfId="5" applyFont="1" applyBorder="1" applyAlignment="1">
      <alignment horizontal="left"/>
    </xf>
    <xf numFmtId="0" fontId="8" fillId="0" borderId="0" xfId="5" applyFont="1"/>
    <xf numFmtId="0" fontId="7" fillId="0" borderId="0" xfId="5" applyFont="1"/>
    <xf numFmtId="0" fontId="12" fillId="4" borderId="0" xfId="5" applyFont="1" applyFill="1" applyAlignment="1">
      <alignment horizontal="centerContinuous"/>
    </xf>
    <xf numFmtId="0" fontId="13" fillId="4" borderId="0" xfId="5" applyFont="1" applyFill="1" applyAlignment="1">
      <alignment horizontal="centerContinuous"/>
    </xf>
    <xf numFmtId="0" fontId="8" fillId="0" borderId="10" xfId="5" applyFont="1" applyBorder="1" applyAlignment="1">
      <alignment horizontal="centerContinuous"/>
    </xf>
    <xf numFmtId="0" fontId="8" fillId="0" borderId="11" xfId="5" applyFont="1" applyBorder="1" applyAlignment="1">
      <alignment horizontal="centerContinuous"/>
    </xf>
    <xf numFmtId="0" fontId="8" fillId="0" borderId="12" xfId="5" applyFont="1" applyBorder="1" applyAlignment="1">
      <alignment horizontal="centerContinuous"/>
    </xf>
    <xf numFmtId="169" fontId="14" fillId="0" borderId="9" xfId="5" applyNumberFormat="1" applyFont="1" applyBorder="1" applyAlignment="1">
      <alignment horizontal="center"/>
    </xf>
    <xf numFmtId="169" fontId="8" fillId="0" borderId="9" xfId="5" applyNumberFormat="1" applyFont="1" applyBorder="1" applyAlignment="1">
      <alignment horizontal="center"/>
    </xf>
    <xf numFmtId="169" fontId="8" fillId="0" borderId="4" xfId="5" applyNumberFormat="1" applyFont="1" applyBorder="1" applyAlignment="1">
      <alignment horizontal="center"/>
    </xf>
    <xf numFmtId="170" fontId="8" fillId="0" borderId="9" xfId="5" applyNumberFormat="1" applyFont="1" applyBorder="1" applyAlignment="1">
      <alignment horizontal="center"/>
    </xf>
    <xf numFmtId="0" fontId="6" fillId="0" borderId="9" xfId="5" applyFont="1" applyBorder="1"/>
    <xf numFmtId="171" fontId="15" fillId="0" borderId="9" xfId="1" applyNumberFormat="1" applyFont="1" applyBorder="1"/>
    <xf numFmtId="171" fontId="15" fillId="0" borderId="4" xfId="1" applyNumberFormat="1" applyFont="1" applyBorder="1"/>
    <xf numFmtId="171" fontId="0" fillId="0" borderId="9" xfId="0" applyNumberFormat="1" applyBorder="1"/>
    <xf numFmtId="172" fontId="16" fillId="0" borderId="3" xfId="1" applyNumberFormat="1" applyFont="1" applyBorder="1"/>
    <xf numFmtId="172" fontId="16" fillId="0" borderId="5" xfId="1" applyNumberFormat="1" applyFont="1" applyBorder="1"/>
    <xf numFmtId="172" fontId="0" fillId="0" borderId="0" xfId="0" applyNumberFormat="1"/>
    <xf numFmtId="0" fontId="8" fillId="0" borderId="9" xfId="5" applyFont="1" applyBorder="1"/>
    <xf numFmtId="172" fontId="3" fillId="0" borderId="0" xfId="0" applyNumberFormat="1" applyFont="1"/>
    <xf numFmtId="172" fontId="3" fillId="0" borderId="7" xfId="0" applyNumberFormat="1" applyFont="1" applyBorder="1"/>
    <xf numFmtId="172" fontId="3" fillId="0" borderId="9" xfId="0" applyNumberFormat="1" applyFont="1" applyBorder="1"/>
    <xf numFmtId="0" fontId="1" fillId="0" borderId="0" xfId="5" applyAlignment="1">
      <alignment horizontal="left"/>
    </xf>
    <xf numFmtId="172" fontId="16" fillId="0" borderId="0" xfId="1" applyNumberFormat="1" applyFont="1" applyBorder="1"/>
    <xf numFmtId="172" fontId="16" fillId="0" borderId="7" xfId="1" applyNumberFormat="1" applyFont="1" applyBorder="1"/>
    <xf numFmtId="43" fontId="0" fillId="0" borderId="0" xfId="0" applyNumberFormat="1"/>
    <xf numFmtId="172" fontId="17" fillId="0" borderId="3" xfId="0" applyNumberFormat="1" applyFont="1" applyBorder="1"/>
    <xf numFmtId="172" fontId="17" fillId="0" borderId="5" xfId="0" applyNumberFormat="1" applyFont="1" applyBorder="1"/>
    <xf numFmtId="9" fontId="9" fillId="0" borderId="0" xfId="5" applyNumberFormat="1" applyFont="1"/>
    <xf numFmtId="172" fontId="0" fillId="0" borderId="3" xfId="0" applyNumberFormat="1" applyBorder="1"/>
    <xf numFmtId="172" fontId="0" fillId="0" borderId="5" xfId="0" applyNumberFormat="1" applyBorder="1"/>
    <xf numFmtId="172" fontId="3" fillId="0" borderId="1" xfId="0" applyNumberFormat="1" applyFont="1" applyBorder="1"/>
    <xf numFmtId="0" fontId="0" fillId="0" borderId="7" xfId="0" applyBorder="1"/>
    <xf numFmtId="0" fontId="0" fillId="0" borderId="0" xfId="0" applyAlignment="1">
      <alignment horizontal="left"/>
    </xf>
    <xf numFmtId="0" fontId="4" fillId="0" borderId="0" xfId="0" applyFont="1" applyAlignment="1">
      <alignment horizontal="left"/>
    </xf>
    <xf numFmtId="172" fontId="16" fillId="0" borderId="0" xfId="1" applyNumberFormat="1" applyFont="1" applyFill="1"/>
    <xf numFmtId="172" fontId="0" fillId="0" borderId="6" xfId="0" applyNumberFormat="1" applyBorder="1"/>
    <xf numFmtId="172" fontId="18" fillId="0" borderId="0" xfId="1" applyNumberFormat="1" applyFont="1"/>
    <xf numFmtId="37" fontId="0" fillId="0" borderId="6" xfId="0" applyNumberFormat="1" applyBorder="1"/>
    <xf numFmtId="37" fontId="0" fillId="0" borderId="0" xfId="0" applyNumberFormat="1"/>
    <xf numFmtId="172" fontId="19" fillId="0" borderId="0" xfId="1" applyNumberFormat="1" applyFont="1" applyFill="1"/>
    <xf numFmtId="172" fontId="3" fillId="0" borderId="6" xfId="0" applyNumberFormat="1" applyFont="1" applyBorder="1"/>
    <xf numFmtId="171" fontId="3" fillId="0" borderId="9" xfId="0" applyNumberFormat="1" applyFont="1" applyBorder="1"/>
    <xf numFmtId="171" fontId="3" fillId="0" borderId="4" xfId="0" applyNumberFormat="1" applyFont="1" applyBorder="1"/>
    <xf numFmtId="171" fontId="3" fillId="5" borderId="9" xfId="0" applyNumberFormat="1" applyFont="1" applyFill="1" applyBorder="1"/>
    <xf numFmtId="165" fontId="11" fillId="0" borderId="0" xfId="5" applyNumberFormat="1" applyFont="1"/>
    <xf numFmtId="0" fontId="20" fillId="0" borderId="0" xfId="5" applyFont="1" applyAlignment="1">
      <alignment horizontal="center"/>
    </xf>
    <xf numFmtId="0" fontId="8" fillId="0" borderId="0" xfId="5" applyFont="1" applyAlignment="1">
      <alignment horizontal="center"/>
    </xf>
    <xf numFmtId="0" fontId="8" fillId="0" borderId="4" xfId="5" applyFont="1" applyBorder="1" applyAlignment="1">
      <alignment horizontal="center"/>
    </xf>
    <xf numFmtId="173" fontId="0" fillId="0" borderId="0" xfId="3" applyNumberFormat="1" applyFont="1"/>
    <xf numFmtId="173" fontId="0" fillId="0" borderId="7" xfId="3" applyNumberFormat="1" applyFont="1" applyBorder="1"/>
    <xf numFmtId="173" fontId="21" fillId="0" borderId="0" xfId="0" applyNumberFormat="1" applyFont="1"/>
    <xf numFmtId="173" fontId="0" fillId="0" borderId="0" xfId="0" applyNumberFormat="1"/>
    <xf numFmtId="173" fontId="4" fillId="0" borderId="0" xfId="3" applyNumberFormat="1" applyFont="1"/>
    <xf numFmtId="173" fontId="4" fillId="0" borderId="7" xfId="3" applyNumberFormat="1" applyFont="1" applyBorder="1"/>
    <xf numFmtId="173" fontId="4" fillId="0" borderId="0" xfId="0" applyNumberFormat="1" applyFont="1"/>
    <xf numFmtId="173" fontId="22" fillId="0" borderId="7" xfId="3" applyNumberFormat="1" applyFont="1" applyBorder="1"/>
    <xf numFmtId="173" fontId="18" fillId="0" borderId="0" xfId="0" applyNumberFormat="1" applyFont="1"/>
    <xf numFmtId="0" fontId="8" fillId="0" borderId="1" xfId="5" applyFont="1" applyBorder="1"/>
    <xf numFmtId="0" fontId="6" fillId="0" borderId="4" xfId="5" applyFont="1" applyBorder="1"/>
    <xf numFmtId="43" fontId="23" fillId="0" borderId="7" xfId="5" applyNumberFormat="1" applyFont="1" applyBorder="1"/>
    <xf numFmtId="167" fontId="6" fillId="0" borderId="7" xfId="5" applyNumberFormat="1" applyFont="1" applyBorder="1"/>
    <xf numFmtId="171" fontId="6" fillId="0" borderId="7" xfId="2" applyNumberFormat="1" applyFont="1" applyBorder="1"/>
    <xf numFmtId="171" fontId="0" fillId="0" borderId="7" xfId="0" applyNumberFormat="1" applyBorder="1"/>
    <xf numFmtId="9" fontId="9" fillId="0" borderId="7" xfId="3" applyFont="1" applyBorder="1"/>
    <xf numFmtId="2" fontId="22" fillId="0" borderId="7" xfId="0" applyNumberFormat="1" applyFont="1" applyBorder="1"/>
    <xf numFmtId="171" fontId="6" fillId="0" borderId="7" xfId="5" applyNumberFormat="1" applyFont="1" applyBorder="1"/>
    <xf numFmtId="173" fontId="11" fillId="0" borderId="7" xfId="3" applyNumberFormat="1" applyFont="1" applyBorder="1"/>
    <xf numFmtId="0" fontId="8" fillId="0" borderId="6" xfId="5" applyFont="1" applyBorder="1"/>
    <xf numFmtId="171" fontId="8" fillId="0" borderId="7" xfId="5" applyNumberFormat="1" applyFont="1" applyBorder="1"/>
    <xf numFmtId="171" fontId="3" fillId="0" borderId="7" xfId="0" applyNumberFormat="1" applyFont="1" applyBorder="1"/>
    <xf numFmtId="0" fontId="6" fillId="0" borderId="7" xfId="5" applyFont="1" applyBorder="1"/>
    <xf numFmtId="171" fontId="20" fillId="0" borderId="7" xfId="5" applyNumberFormat="1" applyFont="1" applyBorder="1"/>
    <xf numFmtId="171" fontId="17" fillId="0" borderId="7" xfId="0" applyNumberFormat="1" applyFont="1" applyBorder="1"/>
    <xf numFmtId="171" fontId="8" fillId="0" borderId="4" xfId="2" applyNumberFormat="1" applyFont="1" applyBorder="1"/>
    <xf numFmtId="171" fontId="23" fillId="0" borderId="7" xfId="2" applyNumberFormat="1" applyFont="1" applyBorder="1"/>
    <xf numFmtId="171" fontId="18" fillId="0" borderId="7" xfId="0" applyNumberFormat="1" applyFont="1" applyBorder="1"/>
    <xf numFmtId="171" fontId="6" fillId="5" borderId="7" xfId="5" applyNumberFormat="1" applyFont="1" applyFill="1" applyBorder="1"/>
    <xf numFmtId="171" fontId="0" fillId="5" borderId="7" xfId="0" applyNumberFormat="1" applyFill="1" applyBorder="1"/>
    <xf numFmtId="172" fontId="6" fillId="5" borderId="7" xfId="2" applyNumberFormat="1" applyFont="1" applyFill="1" applyBorder="1"/>
    <xf numFmtId="172" fontId="18" fillId="5" borderId="7" xfId="0" applyNumberFormat="1" applyFont="1" applyFill="1" applyBorder="1"/>
    <xf numFmtId="0" fontId="6" fillId="0" borderId="3" xfId="5" applyFont="1" applyBorder="1"/>
    <xf numFmtId="171" fontId="6" fillId="0" borderId="5" xfId="5" applyNumberFormat="1" applyFont="1" applyBorder="1"/>
    <xf numFmtId="171" fontId="0" fillId="0" borderId="5" xfId="0" applyNumberFormat="1" applyBorder="1"/>
    <xf numFmtId="9" fontId="6" fillId="0" borderId="0" xfId="5" applyNumberFormat="1" applyFont="1"/>
    <xf numFmtId="5" fontId="6" fillId="0" borderId="0" xfId="5" applyNumberFormat="1" applyFont="1"/>
    <xf numFmtId="169" fontId="20" fillId="0" borderId="0" xfId="5" applyNumberFormat="1" applyFont="1" applyAlignment="1">
      <alignment horizontal="center"/>
    </xf>
    <xf numFmtId="0" fontId="24" fillId="0" borderId="0" xfId="5" applyFont="1" applyAlignment="1">
      <alignment horizontal="left"/>
    </xf>
    <xf numFmtId="172" fontId="16" fillId="0" borderId="7" xfId="1" applyNumberFormat="1" applyFont="1" applyFill="1" applyBorder="1"/>
    <xf numFmtId="172" fontId="19" fillId="0" borderId="9" xfId="1" applyNumberFormat="1" applyFont="1" applyFill="1" applyBorder="1"/>
    <xf numFmtId="172" fontId="19" fillId="0" borderId="4" xfId="1" applyNumberFormat="1" applyFont="1" applyFill="1" applyBorder="1"/>
    <xf numFmtId="172" fontId="3" fillId="0" borderId="4" xfId="0" applyNumberFormat="1" applyFont="1" applyBorder="1"/>
    <xf numFmtId="37" fontId="6" fillId="0" borderId="0" xfId="5" applyNumberFormat="1" applyFont="1"/>
    <xf numFmtId="167" fontId="6" fillId="0" borderId="0" xfId="5" applyNumberFormat="1" applyFont="1"/>
    <xf numFmtId="167" fontId="9" fillId="0" borderId="0" xfId="5" applyNumberFormat="1" applyFont="1"/>
    <xf numFmtId="0" fontId="12" fillId="0" borderId="0" xfId="5" applyFont="1" applyAlignment="1">
      <alignment horizontal="centerContinuous"/>
    </xf>
    <xf numFmtId="0" fontId="13" fillId="0" borderId="0" xfId="5" applyFont="1" applyAlignment="1">
      <alignment horizontal="centerContinuous"/>
    </xf>
    <xf numFmtId="0" fontId="8" fillId="0" borderId="0" xfId="0" applyFont="1"/>
    <xf numFmtId="171" fontId="23" fillId="0" borderId="0" xfId="2" applyNumberFormat="1" applyFont="1"/>
    <xf numFmtId="171" fontId="22" fillId="0" borderId="0" xfId="0" applyNumberFormat="1" applyFont="1"/>
    <xf numFmtId="14" fontId="6" fillId="0" borderId="0" xfId="5" applyNumberFormat="1" applyFont="1"/>
    <xf numFmtId="3" fontId="9" fillId="5" borderId="0" xfId="5" applyNumberFormat="1" applyFont="1" applyFill="1"/>
    <xf numFmtId="37" fontId="6" fillId="5" borderId="0" xfId="5" applyNumberFormat="1" applyFont="1" applyFill="1"/>
    <xf numFmtId="0" fontId="8" fillId="0" borderId="9" xfId="0" applyFont="1" applyBorder="1"/>
    <xf numFmtId="3" fontId="3" fillId="0" borderId="9" xfId="0" applyNumberFormat="1" applyFont="1" applyBorder="1"/>
    <xf numFmtId="4" fontId="6" fillId="0" borderId="0" xfId="5" applyNumberFormat="1" applyFont="1"/>
    <xf numFmtId="9" fontId="0" fillId="0" borderId="0" xfId="3" applyFont="1"/>
    <xf numFmtId="10" fontId="16" fillId="0" borderId="0" xfId="3" applyNumberFormat="1" applyFont="1"/>
    <xf numFmtId="10" fontId="3" fillId="0" borderId="0" xfId="0" applyNumberFormat="1" applyFont="1"/>
    <xf numFmtId="10" fontId="25" fillId="0" borderId="13" xfId="5" applyNumberFormat="1" applyFont="1" applyBorder="1"/>
    <xf numFmtId="9" fontId="22" fillId="0" borderId="0" xfId="0" applyNumberFormat="1" applyFont="1"/>
    <xf numFmtId="10" fontId="9" fillId="0" borderId="0" xfId="3" applyNumberFormat="1" applyFont="1"/>
    <xf numFmtId="10" fontId="26" fillId="0" borderId="0" xfId="3" applyNumberFormat="1" applyFont="1"/>
    <xf numFmtId="43" fontId="18" fillId="0" borderId="0" xfId="0" applyNumberFormat="1" applyFont="1"/>
    <xf numFmtId="10" fontId="3" fillId="0" borderId="9" xfId="3" applyNumberFormat="1" applyFont="1" applyBorder="1"/>
    <xf numFmtId="0" fontId="8" fillId="0" borderId="0" xfId="0" applyFont="1" applyAlignment="1">
      <alignment horizontal="center"/>
    </xf>
    <xf numFmtId="0" fontId="8" fillId="0" borderId="8" xfId="0" applyFont="1" applyBorder="1"/>
    <xf numFmtId="164" fontId="8" fillId="0" borderId="8" xfId="0" applyNumberFormat="1" applyFont="1" applyBorder="1" applyAlignment="1">
      <alignment horizontal="center"/>
    </xf>
    <xf numFmtId="0" fontId="8" fillId="0" borderId="8" xfId="0" applyFont="1" applyBorder="1" applyAlignment="1">
      <alignment horizontal="center"/>
    </xf>
    <xf numFmtId="3" fontId="6" fillId="0" borderId="0" xfId="0" applyNumberFormat="1" applyFont="1"/>
    <xf numFmtId="172" fontId="11" fillId="0" borderId="0" xfId="1" applyNumberFormat="1" applyFont="1" applyFill="1"/>
    <xf numFmtId="173" fontId="6" fillId="0" borderId="0" xfId="3" applyNumberFormat="1" applyFont="1"/>
    <xf numFmtId="2" fontId="9" fillId="0" borderId="0" xfId="0" applyNumberFormat="1" applyFont="1"/>
    <xf numFmtId="2" fontId="6" fillId="0" borderId="0" xfId="0" applyNumberFormat="1" applyFont="1"/>
    <xf numFmtId="9" fontId="6" fillId="0" borderId="0" xfId="0" applyNumberFormat="1" applyFont="1"/>
    <xf numFmtId="165" fontId="11" fillId="0" borderId="0" xfId="0" applyNumberFormat="1" applyFont="1"/>
    <xf numFmtId="173" fontId="6" fillId="0" borderId="0" xfId="0" applyNumberFormat="1" applyFont="1"/>
    <xf numFmtId="165" fontId="9" fillId="0" borderId="0" xfId="0" applyNumberFormat="1" applyFont="1"/>
    <xf numFmtId="39" fontId="9" fillId="0" borderId="0" xfId="0" applyNumberFormat="1" applyFont="1"/>
    <xf numFmtId="39" fontId="6" fillId="0" borderId="0" xfId="0" applyNumberFormat="1" applyFont="1"/>
    <xf numFmtId="173" fontId="11" fillId="0" borderId="0" xfId="0" applyNumberFormat="1" applyFont="1"/>
    <xf numFmtId="43" fontId="6" fillId="0" borderId="0" xfId="0" applyNumberFormat="1" applyFont="1"/>
    <xf numFmtId="165" fontId="6" fillId="0" borderId="0" xfId="0" applyNumberFormat="1" applyFont="1"/>
    <xf numFmtId="39" fontId="8" fillId="0" borderId="0" xfId="0" applyNumberFormat="1" applyFont="1"/>
    <xf numFmtId="0" fontId="6" fillId="0" borderId="0" xfId="5" applyFont="1" applyAlignment="1">
      <alignment horizontal="right"/>
    </xf>
    <xf numFmtId="0" fontId="27" fillId="0" borderId="0" xfId="5" applyFont="1"/>
    <xf numFmtId="171" fontId="6" fillId="0" borderId="0" xfId="5" applyNumberFormat="1" applyFont="1"/>
    <xf numFmtId="0" fontId="12" fillId="4" borderId="0" xfId="6" applyFont="1" applyFill="1" applyAlignment="1">
      <alignment horizontal="centerContinuous"/>
    </xf>
    <xf numFmtId="0" fontId="13" fillId="4" borderId="0" xfId="6" applyFont="1" applyFill="1" applyAlignment="1">
      <alignment horizontal="centerContinuous"/>
    </xf>
    <xf numFmtId="0" fontId="11" fillId="0" borderId="0" xfId="0" applyFont="1"/>
    <xf numFmtId="0" fontId="8" fillId="0" borderId="1" xfId="6" applyFont="1" applyBorder="1"/>
    <xf numFmtId="0" fontId="6" fillId="0" borderId="9" xfId="6" applyFont="1" applyBorder="1"/>
    <xf numFmtId="0" fontId="6" fillId="0" borderId="4" xfId="6" applyFont="1" applyBorder="1"/>
    <xf numFmtId="0" fontId="6" fillId="0" borderId="6" xfId="6" applyFont="1" applyBorder="1"/>
    <xf numFmtId="0" fontId="6" fillId="0" borderId="0" xfId="6" applyFont="1"/>
    <xf numFmtId="37" fontId="25" fillId="0" borderId="7" xfId="0" applyNumberFormat="1" applyFont="1" applyBorder="1"/>
    <xf numFmtId="171" fontId="25" fillId="0" borderId="7" xfId="5" applyNumberFormat="1" applyFont="1" applyBorder="1"/>
    <xf numFmtId="0" fontId="6" fillId="0" borderId="1" xfId="6" applyFont="1" applyBorder="1"/>
    <xf numFmtId="37" fontId="6" fillId="0" borderId="4" xfId="0" applyNumberFormat="1" applyFont="1" applyBorder="1"/>
    <xf numFmtId="42" fontId="11" fillId="0" borderId="7" xfId="7" applyNumberFormat="1" applyFont="1" applyBorder="1"/>
    <xf numFmtId="37" fontId="11" fillId="0" borderId="7" xfId="0" applyNumberFormat="1" applyFont="1" applyBorder="1"/>
    <xf numFmtId="0" fontId="11" fillId="0" borderId="7" xfId="0" applyFont="1" applyBorder="1"/>
    <xf numFmtId="0" fontId="8" fillId="0" borderId="9" xfId="6" applyFont="1" applyBorder="1"/>
    <xf numFmtId="37" fontId="20" fillId="5" borderId="4" xfId="0" applyNumberFormat="1" applyFont="1" applyFill="1" applyBorder="1"/>
    <xf numFmtId="0" fontId="6" fillId="0" borderId="2" xfId="6" applyFont="1" applyBorder="1"/>
    <xf numFmtId="0" fontId="6" fillId="0" borderId="3" xfId="6" applyFont="1" applyBorder="1"/>
    <xf numFmtId="174" fontId="6" fillId="0" borderId="5" xfId="6" applyNumberFormat="1" applyFont="1" applyBorder="1"/>
    <xf numFmtId="10" fontId="6" fillId="0" borderId="0" xfId="5" applyNumberFormat="1" applyFont="1"/>
    <xf numFmtId="167" fontId="8" fillId="0" borderId="0" xfId="5" applyNumberFormat="1" applyFont="1"/>
    <xf numFmtId="173" fontId="22" fillId="0" borderId="0" xfId="0" applyNumberFormat="1" applyFont="1"/>
    <xf numFmtId="9" fontId="0" fillId="0" borderId="0" xfId="0" applyNumberFormat="1"/>
    <xf numFmtId="3" fontId="18" fillId="0" borderId="7" xfId="0" applyNumberFormat="1" applyFont="1" applyBorder="1"/>
    <xf numFmtId="174" fontId="6" fillId="0" borderId="0" xfId="5" applyNumberFormat="1" applyFont="1"/>
    <xf numFmtId="44" fontId="30" fillId="0" borderId="7" xfId="0" applyNumberFormat="1" applyFont="1" applyBorder="1"/>
    <xf numFmtId="171" fontId="0" fillId="5" borderId="5" xfId="0" applyNumberFormat="1" applyFill="1" applyBorder="1"/>
    <xf numFmtId="171" fontId="0" fillId="5" borderId="7" xfId="1" applyNumberFormat="1" applyFont="1" applyFill="1" applyBorder="1"/>
    <xf numFmtId="42" fontId="0" fillId="0" borderId="7" xfId="0" applyNumberFormat="1" applyBorder="1"/>
    <xf numFmtId="1" fontId="0" fillId="5" borderId="5" xfId="0" applyNumberFormat="1" applyFill="1" applyBorder="1"/>
    <xf numFmtId="0" fontId="1" fillId="0" borderId="0" xfId="5"/>
    <xf numFmtId="0" fontId="31" fillId="0" borderId="0" xfId="5" applyFont="1" applyAlignment="1">
      <alignment horizontal="left"/>
    </xf>
    <xf numFmtId="0" fontId="32" fillId="0" borderId="0" xfId="5" applyFont="1" applyAlignment="1">
      <alignment horizontal="left"/>
    </xf>
    <xf numFmtId="0" fontId="1" fillId="0" borderId="0" xfId="5" applyAlignment="1">
      <alignment horizontal="left" vertical="top" wrapText="1"/>
    </xf>
    <xf numFmtId="0" fontId="19" fillId="0" borderId="0" xfId="5" applyFont="1" applyAlignment="1">
      <alignment vertical="top" wrapText="1"/>
    </xf>
    <xf numFmtId="0" fontId="19" fillId="0" borderId="0" xfId="5" applyFont="1" applyAlignment="1">
      <alignment horizontal="left" vertical="top"/>
    </xf>
    <xf numFmtId="0" fontId="19" fillId="0" borderId="0" xfId="5" applyFont="1" applyAlignment="1">
      <alignment horizontal="right" vertical="top" wrapText="1"/>
    </xf>
    <xf numFmtId="175" fontId="1" fillId="0" borderId="0" xfId="5" applyNumberFormat="1"/>
    <xf numFmtId="10" fontId="1" fillId="0" borderId="0" xfId="5" applyNumberFormat="1" applyAlignment="1">
      <alignment horizontal="left"/>
    </xf>
    <xf numFmtId="175" fontId="1" fillId="0" borderId="0" xfId="5" applyNumberFormat="1" applyAlignment="1">
      <alignment horizontal="right"/>
    </xf>
    <xf numFmtId="172" fontId="24" fillId="0" borderId="0" xfId="1" applyNumberFormat="1" applyFont="1" applyFill="1"/>
    <xf numFmtId="0" fontId="19" fillId="0" borderId="14" xfId="5" applyFont="1" applyBorder="1" applyAlignment="1">
      <alignment horizontal="left"/>
    </xf>
    <xf numFmtId="172" fontId="19" fillId="0" borderId="14" xfId="1" applyNumberFormat="1" applyFont="1" applyFill="1" applyBorder="1"/>
    <xf numFmtId="10" fontId="19" fillId="0" borderId="14" xfId="5" applyNumberFormat="1" applyFont="1" applyBorder="1" applyAlignment="1">
      <alignment horizontal="left"/>
    </xf>
    <xf numFmtId="0" fontId="19" fillId="0" borderId="0" xfId="5" applyFont="1" applyAlignment="1">
      <alignment horizontal="left"/>
    </xf>
    <xf numFmtId="10" fontId="19" fillId="0" borderId="0" xfId="5" applyNumberFormat="1" applyFont="1" applyAlignment="1">
      <alignment horizontal="left"/>
    </xf>
    <xf numFmtId="0" fontId="0" fillId="6" borderId="0" xfId="0" applyFill="1" applyAlignment="1">
      <alignment horizontal="left"/>
    </xf>
    <xf numFmtId="43" fontId="0" fillId="6" borderId="0" xfId="1" applyFont="1" applyFill="1"/>
    <xf numFmtId="1" fontId="0" fillId="6" borderId="0" xfId="0" applyNumberFormat="1" applyFill="1"/>
    <xf numFmtId="172" fontId="24" fillId="0" borderId="0" xfId="1" applyNumberFormat="1" applyFont="1" applyFill="1" applyAlignment="1">
      <alignment horizontal="right"/>
    </xf>
    <xf numFmtId="175" fontId="19" fillId="0" borderId="14" xfId="5" applyNumberFormat="1" applyFont="1" applyBorder="1"/>
    <xf numFmtId="43" fontId="24" fillId="0" borderId="0" xfId="1" applyFont="1"/>
    <xf numFmtId="43" fontId="24" fillId="0" borderId="0" xfId="1" applyFont="1" applyAlignment="1">
      <alignment horizontal="right"/>
    </xf>
    <xf numFmtId="0" fontId="19" fillId="0" borderId="0" xfId="1" applyNumberFormat="1" applyFont="1" applyFill="1" applyAlignment="1">
      <alignment horizontal="right" vertical="top" wrapText="1"/>
    </xf>
    <xf numFmtId="0" fontId="19" fillId="0" borderId="0" xfId="1" applyNumberFormat="1" applyFont="1" applyFill="1" applyAlignment="1">
      <alignment horizontal="left" vertical="top"/>
    </xf>
    <xf numFmtId="0" fontId="1" fillId="7" borderId="0" xfId="5" applyFill="1" applyAlignment="1">
      <alignment horizontal="left"/>
    </xf>
    <xf numFmtId="0" fontId="19" fillId="7" borderId="9" xfId="5" applyFont="1" applyFill="1" applyBorder="1" applyAlignment="1">
      <alignment horizontal="left"/>
    </xf>
    <xf numFmtId="172" fontId="19" fillId="7" borderId="9" xfId="1" applyNumberFormat="1" applyFont="1" applyFill="1" applyBorder="1"/>
    <xf numFmtId="9" fontId="19" fillId="7" borderId="9" xfId="3" applyFont="1" applyFill="1" applyBorder="1"/>
    <xf numFmtId="0" fontId="1" fillId="6" borderId="0" xfId="5" applyFill="1" applyAlignment="1">
      <alignment horizontal="left"/>
    </xf>
    <xf numFmtId="172" fontId="24" fillId="6" borderId="0" xfId="1" applyNumberFormat="1" applyFont="1" applyFill="1"/>
    <xf numFmtId="10" fontId="1" fillId="6" borderId="0" xfId="5" applyNumberFormat="1" applyFill="1" applyAlignment="1">
      <alignment horizontal="left"/>
    </xf>
    <xf numFmtId="0" fontId="19" fillId="8" borderId="0" xfId="5" applyFont="1" applyFill="1" applyAlignment="1">
      <alignment horizontal="left"/>
    </xf>
    <xf numFmtId="172" fontId="19" fillId="8" borderId="0" xfId="1" applyNumberFormat="1" applyFont="1" applyFill="1"/>
    <xf numFmtId="10" fontId="19" fillId="8" borderId="0" xfId="5" applyNumberFormat="1" applyFont="1" applyFill="1" applyAlignment="1">
      <alignment horizontal="left"/>
    </xf>
    <xf numFmtId="0" fontId="2" fillId="7" borderId="0" xfId="5" applyFont="1" applyFill="1" applyAlignment="1">
      <alignment horizontal="left"/>
    </xf>
    <xf numFmtId="172" fontId="24" fillId="7" borderId="0" xfId="1" applyNumberFormat="1" applyFont="1" applyFill="1"/>
    <xf numFmtId="10" fontId="1" fillId="7" borderId="0" xfId="5" applyNumberFormat="1" applyFill="1" applyAlignment="1">
      <alignment horizontal="left"/>
    </xf>
    <xf numFmtId="43" fontId="24" fillId="0" borderId="0" xfId="1" applyFont="1" applyFill="1"/>
    <xf numFmtId="175" fontId="19" fillId="0" borderId="14" xfId="5" applyNumberFormat="1" applyFont="1" applyBorder="1" applyAlignment="1">
      <alignment horizontal="right"/>
    </xf>
    <xf numFmtId="10" fontId="1" fillId="0" borderId="0" xfId="5" applyNumberFormat="1"/>
    <xf numFmtId="0" fontId="3" fillId="9" borderId="0" xfId="0" applyFont="1" applyFill="1" applyAlignment="1">
      <alignment horizontal="left"/>
    </xf>
    <xf numFmtId="1" fontId="3" fillId="9" borderId="0" xfId="0" applyNumberFormat="1" applyFont="1" applyFill="1"/>
    <xf numFmtId="0" fontId="31" fillId="0" borderId="0" xfId="0" applyFont="1" applyAlignment="1">
      <alignment horizontal="left"/>
    </xf>
    <xf numFmtId="0" fontId="32" fillId="0" borderId="0" xfId="0" applyFont="1" applyAlignment="1">
      <alignment horizontal="left"/>
    </xf>
    <xf numFmtId="0" fontId="0" fillId="0" borderId="0" xfId="0" applyAlignment="1">
      <alignment horizontal="left" vertical="top" wrapText="1"/>
    </xf>
    <xf numFmtId="0" fontId="19" fillId="0" borderId="0" xfId="0" applyFont="1" applyAlignment="1">
      <alignment vertical="top" wrapText="1"/>
    </xf>
    <xf numFmtId="0" fontId="19" fillId="0" borderId="0" xfId="0" applyFont="1" applyAlignment="1">
      <alignment horizontal="left" vertical="top"/>
    </xf>
    <xf numFmtId="0" fontId="19" fillId="0" borderId="0" xfId="0" applyFont="1" applyAlignment="1">
      <alignment horizontal="right" vertical="top" wrapText="1"/>
    </xf>
    <xf numFmtId="1" fontId="0" fillId="0" borderId="0" xfId="0" applyNumberFormat="1"/>
    <xf numFmtId="0" fontId="0" fillId="0" borderId="0" xfId="0" applyAlignment="1">
      <alignment horizontal="right"/>
    </xf>
    <xf numFmtId="0" fontId="3" fillId="0" borderId="9" xfId="0" applyFont="1" applyBorder="1" applyAlignment="1">
      <alignment horizontal="left"/>
    </xf>
    <xf numFmtId="1" fontId="3" fillId="0" borderId="9" xfId="0" applyNumberFormat="1" applyFont="1" applyBorder="1"/>
    <xf numFmtId="1" fontId="3" fillId="0" borderId="0" xfId="0" applyNumberFormat="1" applyFont="1"/>
    <xf numFmtId="0" fontId="3" fillId="0" borderId="0" xfId="0" applyFont="1" applyAlignment="1">
      <alignment horizontal="left"/>
    </xf>
    <xf numFmtId="0" fontId="4" fillId="0" borderId="0" xfId="8"/>
    <xf numFmtId="0" fontId="33" fillId="0" borderId="0" xfId="8" applyFont="1"/>
    <xf numFmtId="0" fontId="34" fillId="0" borderId="0" xfId="8" applyFont="1"/>
    <xf numFmtId="0" fontId="35" fillId="0" borderId="0" xfId="8" applyFont="1"/>
    <xf numFmtId="44" fontId="36" fillId="0" borderId="13" xfId="8" applyNumberFormat="1" applyFont="1" applyFill="1" applyBorder="1"/>
    <xf numFmtId="8" fontId="37" fillId="0" borderId="13" xfId="9" applyNumberFormat="1" applyFont="1" applyFill="1" applyBorder="1"/>
    <xf numFmtId="2" fontId="37" fillId="0" borderId="13" xfId="8" applyNumberFormat="1" applyFont="1" applyFill="1" applyBorder="1"/>
    <xf numFmtId="10" fontId="37" fillId="0" borderId="13" xfId="10" applyNumberFormat="1" applyFont="1" applyFill="1" applyBorder="1"/>
    <xf numFmtId="10" fontId="37" fillId="0" borderId="13" xfId="8" applyNumberFormat="1" applyFont="1" applyFill="1" applyBorder="1"/>
    <xf numFmtId="10" fontId="36" fillId="0" borderId="13" xfId="8" applyNumberFormat="1" applyFont="1" applyFill="1" applyBorder="1"/>
    <xf numFmtId="37" fontId="36" fillId="0" borderId="13" xfId="8" applyNumberFormat="1" applyFont="1" applyFill="1" applyBorder="1"/>
    <xf numFmtId="4" fontId="35" fillId="0" borderId="0" xfId="8" applyNumberFormat="1" applyFont="1" applyFill="1"/>
    <xf numFmtId="0" fontId="35" fillId="0" borderId="13" xfId="8" applyFont="1" applyBorder="1"/>
    <xf numFmtId="0" fontId="38" fillId="0" borderId="0" xfId="8" applyFont="1"/>
    <xf numFmtId="0" fontId="39" fillId="0" borderId="0" xfId="8" applyFont="1"/>
    <xf numFmtId="0" fontId="40" fillId="0" borderId="0" xfId="8" applyFont="1"/>
    <xf numFmtId="0" fontId="41" fillId="0" borderId="0" xfId="8" applyFont="1"/>
    <xf numFmtId="0" fontId="41" fillId="0" borderId="13" xfId="8" applyFont="1" applyBorder="1"/>
    <xf numFmtId="3" fontId="35" fillId="0" borderId="13" xfId="8" applyNumberFormat="1" applyFont="1" applyBorder="1"/>
    <xf numFmtId="10" fontId="41" fillId="0" borderId="13" xfId="8" applyNumberFormat="1" applyFont="1" applyBorder="1"/>
    <xf numFmtId="176" fontId="41" fillId="0" borderId="13" xfId="11" applyNumberFormat="1" applyFont="1" applyBorder="1"/>
    <xf numFmtId="10" fontId="35" fillId="0" borderId="13" xfId="8" applyNumberFormat="1" applyFont="1" applyBorder="1"/>
    <xf numFmtId="44" fontId="35" fillId="0" borderId="15" xfId="9" applyFont="1" applyBorder="1"/>
    <xf numFmtId="8" fontId="35" fillId="0" borderId="15" xfId="8" applyNumberFormat="1" applyFont="1" applyBorder="1"/>
    <xf numFmtId="0" fontId="1" fillId="0" borderId="0" xfId="12"/>
    <xf numFmtId="0" fontId="5" fillId="0" borderId="0" xfId="12" applyFont="1"/>
    <xf numFmtId="0" fontId="6" fillId="0" borderId="0" xfId="12" applyFont="1"/>
    <xf numFmtId="0" fontId="7" fillId="0" borderId="0" xfId="12" applyFont="1"/>
    <xf numFmtId="0" fontId="6" fillId="0" borderId="1" xfId="12" applyFont="1" applyBorder="1"/>
    <xf numFmtId="14" fontId="6" fillId="0" borderId="4" xfId="12" applyNumberFormat="1" applyFont="1" applyBorder="1"/>
    <xf numFmtId="0" fontId="8" fillId="0" borderId="0" xfId="12" applyFont="1" applyAlignment="1">
      <alignment horizontal="center"/>
    </xf>
    <xf numFmtId="0" fontId="6" fillId="0" borderId="6" xfId="12" applyFont="1" applyBorder="1"/>
    <xf numFmtId="49" fontId="6" fillId="0" borderId="7" xfId="12" applyNumberFormat="1" applyFont="1" applyBorder="1"/>
    <xf numFmtId="14" fontId="6" fillId="0" borderId="7" xfId="12" applyNumberFormat="1" applyFont="1" applyBorder="1"/>
    <xf numFmtId="0" fontId="6" fillId="0" borderId="2" xfId="12" applyFont="1" applyBorder="1"/>
    <xf numFmtId="0" fontId="6" fillId="0" borderId="5" xfId="12" applyFont="1" applyBorder="1" applyAlignment="1">
      <alignment horizontal="right"/>
    </xf>
    <xf numFmtId="0" fontId="8" fillId="0" borderId="0" xfId="12" applyFont="1" applyAlignment="1">
      <alignment horizontal="centerContinuous"/>
    </xf>
    <xf numFmtId="0" fontId="8" fillId="0" borderId="0" xfId="12" applyFont="1" applyAlignment="1">
      <alignment horizontal="centerContinuous" wrapText="1"/>
    </xf>
    <xf numFmtId="0" fontId="1" fillId="0" borderId="0" xfId="12" applyAlignment="1">
      <alignment horizontal="centerContinuous"/>
    </xf>
    <xf numFmtId="0" fontId="8" fillId="0" borderId="8" xfId="12" applyFont="1" applyBorder="1"/>
    <xf numFmtId="164" fontId="8" fillId="0" borderId="8" xfId="12" applyNumberFormat="1" applyFont="1" applyBorder="1" applyAlignment="1">
      <alignment horizontal="center"/>
    </xf>
    <xf numFmtId="0" fontId="8" fillId="0" borderId="8" xfId="12" applyFont="1" applyBorder="1" applyAlignment="1">
      <alignment horizontal="center"/>
    </xf>
    <xf numFmtId="7" fontId="9" fillId="0" borderId="0" xfId="12" applyNumberFormat="1" applyFont="1"/>
    <xf numFmtId="0" fontId="6" fillId="0" borderId="0" xfId="8" applyFont="1"/>
    <xf numFmtId="37" fontId="9" fillId="0" borderId="0" xfId="12" applyNumberFormat="1" applyFont="1"/>
    <xf numFmtId="165" fontId="6" fillId="0" borderId="0" xfId="12" applyNumberFormat="1" applyFont="1"/>
    <xf numFmtId="166" fontId="6" fillId="0" borderId="0" xfId="12" applyNumberFormat="1" applyFont="1"/>
    <xf numFmtId="167" fontId="9" fillId="0" borderId="0" xfId="12" applyNumberFormat="1" applyFont="1"/>
    <xf numFmtId="165" fontId="9" fillId="0" borderId="0" xfId="12" applyNumberFormat="1" applyFont="1"/>
    <xf numFmtId="0" fontId="4" fillId="0" borderId="0" xfId="8" applyAlignment="1">
      <alignment wrapText="1"/>
    </xf>
    <xf numFmtId="39" fontId="9" fillId="0" borderId="0" xfId="12" applyNumberFormat="1" applyFont="1"/>
    <xf numFmtId="165" fontId="10" fillId="0" borderId="0" xfId="12" applyNumberFormat="1" applyFont="1"/>
    <xf numFmtId="39" fontId="10" fillId="0" borderId="0" xfId="12" applyNumberFormat="1" applyFont="1"/>
    <xf numFmtId="165" fontId="6" fillId="0" borderId="0" xfId="12" applyNumberFormat="1" applyFont="1" applyAlignment="1">
      <alignment horizontal="right"/>
    </xf>
    <xf numFmtId="166" fontId="6" fillId="0" borderId="1" xfId="12" applyNumberFormat="1" applyFont="1" applyBorder="1"/>
    <xf numFmtId="166" fontId="6" fillId="3" borderId="6" xfId="12" applyNumberFormat="1" applyFont="1" applyFill="1" applyBorder="1"/>
    <xf numFmtId="166" fontId="6" fillId="0" borderId="2" xfId="12" applyNumberFormat="1" applyFont="1" applyBorder="1"/>
    <xf numFmtId="0" fontId="8" fillId="0" borderId="0" xfId="12" applyFont="1" applyAlignment="1">
      <alignment horizontal="center" wrapText="1"/>
    </xf>
    <xf numFmtId="0" fontId="8" fillId="0" borderId="0" xfId="12" applyFont="1"/>
    <xf numFmtId="7" fontId="11" fillId="0" borderId="0" xfId="12" applyNumberFormat="1" applyFont="1"/>
    <xf numFmtId="166" fontId="9" fillId="0" borderId="0" xfId="12" applyNumberFormat="1" applyFont="1"/>
    <xf numFmtId="0" fontId="42" fillId="0" borderId="0" xfId="8" applyFont="1" applyAlignment="1">
      <alignment wrapText="1"/>
    </xf>
    <xf numFmtId="0" fontId="1" fillId="0" borderId="0" xfId="13"/>
    <xf numFmtId="0" fontId="2" fillId="0" borderId="0" xfId="13" applyFont="1"/>
    <xf numFmtId="0" fontId="43" fillId="0" borderId="0" xfId="13" applyFont="1"/>
    <xf numFmtId="0" fontId="2" fillId="0" borderId="0" xfId="13" applyFont="1" applyAlignment="1">
      <alignment horizontal="centerContinuous"/>
    </xf>
    <xf numFmtId="0" fontId="2" fillId="0" borderId="0" xfId="13" applyFont="1" applyAlignment="1">
      <alignment vertical="center" wrapText="1"/>
    </xf>
    <xf numFmtId="14" fontId="1" fillId="0" borderId="0" xfId="13" applyNumberFormat="1" applyAlignment="1">
      <alignment horizontal="center" vertical="center" wrapText="1"/>
    </xf>
    <xf numFmtId="37" fontId="1" fillId="0" borderId="0" xfId="13" applyNumberFormat="1"/>
    <xf numFmtId="37" fontId="2" fillId="0" borderId="0" xfId="13" applyNumberFormat="1" applyFont="1" applyAlignment="1">
      <alignment horizontal="centerContinuous"/>
    </xf>
    <xf numFmtId="0" fontId="45" fillId="0" borderId="0" xfId="0" applyFont="1"/>
    <xf numFmtId="0" fontId="46" fillId="0" borderId="0" xfId="0" applyFont="1" applyAlignment="1">
      <alignment vertical="center" wrapText="1"/>
    </xf>
    <xf numFmtId="0" fontId="46" fillId="0" borderId="0" xfId="0" applyFont="1" applyAlignment="1">
      <alignment wrapText="1"/>
    </xf>
    <xf numFmtId="0" fontId="47" fillId="0" borderId="0" xfId="12" applyFont="1"/>
    <xf numFmtId="0" fontId="48" fillId="0" borderId="0" xfId="12" applyFont="1"/>
    <xf numFmtId="49" fontId="48" fillId="0" borderId="0" xfId="12" applyNumberFormat="1" applyFont="1"/>
    <xf numFmtId="49" fontId="47" fillId="0" borderId="0" xfId="12" applyNumberFormat="1" applyFont="1"/>
    <xf numFmtId="0" fontId="42" fillId="0" borderId="0" xfId="8" applyFont="1"/>
    <xf numFmtId="2" fontId="0" fillId="0" borderId="0" xfId="0" applyNumberFormat="1"/>
    <xf numFmtId="177" fontId="0" fillId="0" borderId="0" xfId="0" applyNumberFormat="1"/>
    <xf numFmtId="1" fontId="2" fillId="0" borderId="0" xfId="0" applyNumberFormat="1" applyFont="1"/>
    <xf numFmtId="2" fontId="2" fillId="0" borderId="0" xfId="0" applyNumberFormat="1" applyFont="1"/>
    <xf numFmtId="178" fontId="2" fillId="0" borderId="0" xfId="0" applyNumberFormat="1" applyFont="1"/>
    <xf numFmtId="0" fontId="0" fillId="2" borderId="0" xfId="0" applyFill="1" applyAlignment="1">
      <alignment horizontal="center"/>
    </xf>
    <xf numFmtId="0" fontId="2" fillId="2" borderId="0" xfId="0" applyFont="1" applyFill="1" applyAlignment="1">
      <alignment horizontal="center"/>
    </xf>
    <xf numFmtId="0" fontId="0" fillId="10" borderId="0" xfId="0" applyFill="1" applyAlignment="1">
      <alignment horizontal="left"/>
    </xf>
    <xf numFmtId="0" fontId="2" fillId="11" borderId="0" xfId="0" applyFont="1" applyFill="1" applyAlignment="1">
      <alignment horizontal="left"/>
    </xf>
    <xf numFmtId="0" fontId="0" fillId="11" borderId="0" xfId="0" applyFill="1" applyAlignment="1">
      <alignment horizontal="center"/>
    </xf>
    <xf numFmtId="0" fontId="2" fillId="12" borderId="0" xfId="0" applyFont="1" applyFill="1" applyAlignment="1">
      <alignment horizontal="left"/>
    </xf>
    <xf numFmtId="0" fontId="3" fillId="0" borderId="0" xfId="0" applyFont="1" applyAlignment="1">
      <alignment vertical="center"/>
    </xf>
    <xf numFmtId="0" fontId="2" fillId="0" borderId="0" xfId="0" applyFont="1" applyAlignment="1">
      <alignment horizontal="right"/>
    </xf>
    <xf numFmtId="177" fontId="2" fillId="0" borderId="0" xfId="0" applyNumberFormat="1" applyFont="1"/>
    <xf numFmtId="7" fontId="23" fillId="0" borderId="0" xfId="12" applyNumberFormat="1" applyFont="1"/>
    <xf numFmtId="179" fontId="23" fillId="0" borderId="0" xfId="12" applyNumberFormat="1" applyFont="1"/>
    <xf numFmtId="37" fontId="43" fillId="0" borderId="0" xfId="13" applyNumberFormat="1" applyFont="1"/>
    <xf numFmtId="0" fontId="0" fillId="0" borderId="0" xfId="13" applyFont="1"/>
    <xf numFmtId="2" fontId="43" fillId="0" borderId="0" xfId="13" applyNumberFormat="1" applyFont="1"/>
    <xf numFmtId="2" fontId="51" fillId="0" borderId="0" xfId="0" applyNumberFormat="1" applyFont="1" applyAlignment="1">
      <alignment horizontal="right" vertical="center"/>
    </xf>
    <xf numFmtId="2" fontId="0" fillId="0" borderId="0" xfId="13" applyNumberFormat="1" applyFont="1"/>
    <xf numFmtId="2" fontId="1" fillId="0" borderId="0" xfId="13" applyNumberFormat="1"/>
    <xf numFmtId="166" fontId="1" fillId="0" borderId="0" xfId="12" applyNumberFormat="1"/>
    <xf numFmtId="166" fontId="43" fillId="0" borderId="0" xfId="12" applyNumberFormat="1" applyFont="1"/>
    <xf numFmtId="179" fontId="1" fillId="0" borderId="0" xfId="2" applyNumberFormat="1"/>
    <xf numFmtId="166" fontId="9" fillId="0" borderId="0" xfId="2" applyNumberFormat="1" applyFont="1"/>
    <xf numFmtId="180" fontId="9" fillId="0" borderId="0" xfId="12" applyNumberFormat="1" applyFont="1"/>
    <xf numFmtId="173" fontId="9" fillId="0" borderId="0" xfId="3" applyNumberFormat="1" applyFont="1"/>
    <xf numFmtId="0" fontId="8" fillId="0" borderId="0" xfId="15" applyFont="1"/>
    <xf numFmtId="0" fontId="6" fillId="0" borderId="0" xfId="15" applyFont="1"/>
    <xf numFmtId="14" fontId="6" fillId="0" borderId="0" xfId="15" applyNumberFormat="1" applyFont="1"/>
    <xf numFmtId="14" fontId="9" fillId="0" borderId="0" xfId="15" applyNumberFormat="1" applyFont="1"/>
    <xf numFmtId="7" fontId="9" fillId="0" borderId="0" xfId="15" applyNumberFormat="1" applyFont="1"/>
    <xf numFmtId="7" fontId="6" fillId="0" borderId="0" xfId="15" applyNumberFormat="1" applyFont="1"/>
    <xf numFmtId="0" fontId="8" fillId="0" borderId="0" xfId="15" applyFont="1" applyAlignment="1">
      <alignment horizontal="centerContinuous"/>
    </xf>
    <xf numFmtId="0" fontId="6" fillId="0" borderId="0" xfId="15" applyFont="1" applyAlignment="1">
      <alignment horizontal="centerContinuous"/>
    </xf>
    <xf numFmtId="0" fontId="8" fillId="0" borderId="0" xfId="15" applyFont="1" applyAlignment="1">
      <alignment horizontal="right"/>
    </xf>
    <xf numFmtId="7" fontId="11" fillId="0" borderId="0" xfId="15" applyNumberFormat="1" applyFont="1"/>
    <xf numFmtId="39" fontId="6" fillId="0" borderId="0" xfId="15" applyNumberFormat="1" applyFont="1"/>
    <xf numFmtId="166" fontId="6" fillId="0" borderId="0" xfId="15" applyNumberFormat="1" applyFont="1"/>
    <xf numFmtId="173" fontId="6" fillId="0" borderId="0" xfId="15" applyNumberFormat="1" applyFont="1"/>
    <xf numFmtId="179" fontId="9" fillId="0" borderId="0" xfId="15" applyNumberFormat="1" applyFont="1"/>
    <xf numFmtId="7" fontId="1" fillId="0" borderId="0" xfId="12" applyNumberFormat="1"/>
    <xf numFmtId="44" fontId="6" fillId="0" borderId="0" xfId="5" applyNumberFormat="1" applyFont="1"/>
    <xf numFmtId="44" fontId="11" fillId="0" borderId="0" xfId="15" applyNumberFormat="1" applyFont="1"/>
    <xf numFmtId="0" fontId="52" fillId="0" borderId="16" xfId="0" applyFont="1" applyBorder="1"/>
    <xf numFmtId="0" fontId="52" fillId="0" borderId="17" xfId="0" applyFont="1" applyBorder="1"/>
    <xf numFmtId="0" fontId="52" fillId="0" borderId="18" xfId="0" applyFont="1" applyBorder="1"/>
    <xf numFmtId="0" fontId="52" fillId="0" borderId="19" xfId="0" applyFont="1" applyBorder="1"/>
    <xf numFmtId="0" fontId="52" fillId="0" borderId="0" xfId="0" applyFont="1"/>
    <xf numFmtId="9" fontId="52" fillId="0" borderId="0" xfId="0" applyNumberFormat="1" applyFont="1"/>
    <xf numFmtId="0" fontId="52" fillId="0" borderId="20" xfId="0" applyFont="1" applyBorder="1"/>
    <xf numFmtId="10" fontId="52" fillId="0" borderId="0" xfId="0" applyNumberFormat="1" applyFont="1"/>
    <xf numFmtId="0" fontId="53" fillId="0" borderId="0" xfId="0" applyFont="1"/>
    <xf numFmtId="6" fontId="52" fillId="0" borderId="5" xfId="0" applyNumberFormat="1" applyFont="1" applyBorder="1"/>
    <xf numFmtId="10" fontId="52" fillId="0" borderId="3" xfId="0" applyNumberFormat="1" applyFont="1" applyBorder="1"/>
    <xf numFmtId="10" fontId="54" fillId="0" borderId="3" xfId="0" applyNumberFormat="1" applyFont="1" applyBorder="1"/>
    <xf numFmtId="10" fontId="52" fillId="0" borderId="7" xfId="0" applyNumberFormat="1" applyFont="1" applyBorder="1"/>
    <xf numFmtId="4" fontId="52" fillId="0" borderId="0" xfId="0" applyNumberFormat="1" applyFont="1"/>
    <xf numFmtId="9" fontId="54" fillId="0" borderId="7" xfId="0" applyNumberFormat="1" applyFont="1" applyBorder="1"/>
    <xf numFmtId="0" fontId="52" fillId="0" borderId="21" xfId="0" applyFont="1" applyBorder="1"/>
    <xf numFmtId="0" fontId="52" fillId="0" borderId="8" xfId="0" applyFont="1" applyBorder="1"/>
    <xf numFmtId="0" fontId="52" fillId="0" borderId="22" xfId="0" applyFont="1" applyBorder="1"/>
    <xf numFmtId="0" fontId="55" fillId="0" borderId="4" xfId="0" applyFont="1" applyBorder="1"/>
    <xf numFmtId="0" fontId="56" fillId="0" borderId="0" xfId="14" applyFont="1"/>
    <xf numFmtId="0" fontId="55" fillId="0" borderId="5" xfId="0" applyFont="1" applyBorder="1"/>
    <xf numFmtId="0" fontId="55" fillId="0" borderId="0" xfId="0" applyFont="1"/>
    <xf numFmtId="0" fontId="55" fillId="0" borderId="3" xfId="0" applyFont="1" applyBorder="1" applyAlignment="1">
      <alignment horizontal="centerContinuous"/>
    </xf>
    <xf numFmtId="0" fontId="6" fillId="0" borderId="3" xfId="0" applyFont="1" applyBorder="1" applyAlignment="1">
      <alignment horizontal="centerContinuous"/>
    </xf>
    <xf numFmtId="0" fontId="46" fillId="0" borderId="0" xfId="0" applyFont="1" applyAlignment="1">
      <alignment vertical="top" wrapText="1"/>
    </xf>
    <xf numFmtId="0" fontId="55" fillId="0" borderId="0" xfId="0" applyFont="1" applyAlignment="1">
      <alignment vertical="top" wrapText="1"/>
    </xf>
    <xf numFmtId="0" fontId="6" fillId="0" borderId="0" xfId="0" applyFont="1" applyAlignment="1">
      <alignment wrapText="1"/>
    </xf>
    <xf numFmtId="0" fontId="55" fillId="0" borderId="0" xfId="0" applyFont="1" applyAlignment="1">
      <alignment wrapText="1"/>
    </xf>
    <xf numFmtId="0" fontId="57" fillId="0" borderId="1" xfId="0" applyFont="1" applyBorder="1"/>
    <xf numFmtId="0" fontId="57" fillId="0" borderId="2" xfId="0" applyFont="1" applyBorder="1"/>
    <xf numFmtId="0" fontId="57" fillId="0" borderId="0" xfId="0" applyFont="1"/>
    <xf numFmtId="0" fontId="57" fillId="0" borderId="3" xfId="0" applyFont="1" applyBorder="1"/>
    <xf numFmtId="0" fontId="57" fillId="0" borderId="0" xfId="0" applyFont="1" applyAlignment="1">
      <alignment vertical="center"/>
    </xf>
    <xf numFmtId="0" fontId="57" fillId="0" borderId="0" xfId="0" applyFont="1" applyAlignment="1">
      <alignment horizontal="center" vertical="center"/>
    </xf>
    <xf numFmtId="0" fontId="2" fillId="0" borderId="0" xfId="0" applyFont="1"/>
    <xf numFmtId="37" fontId="0" fillId="0" borderId="0" xfId="13" applyNumberFormat="1" applyFont="1"/>
    <xf numFmtId="172" fontId="9" fillId="0" borderId="0" xfId="1" applyNumberFormat="1" applyFont="1"/>
    <xf numFmtId="3" fontId="58" fillId="0" borderId="0" xfId="0" applyNumberFormat="1" applyFont="1"/>
    <xf numFmtId="3" fontId="0" fillId="0" borderId="0" xfId="0" applyNumberFormat="1"/>
    <xf numFmtId="37" fontId="59" fillId="0" borderId="0" xfId="13" applyNumberFormat="1" applyFont="1"/>
    <xf numFmtId="0" fontId="59" fillId="0" borderId="0" xfId="0" applyFont="1"/>
    <xf numFmtId="3" fontId="60" fillId="0" borderId="0" xfId="0" applyNumberFormat="1" applyFont="1"/>
    <xf numFmtId="37" fontId="52" fillId="0" borderId="0" xfId="12" applyNumberFormat="1" applyFont="1"/>
    <xf numFmtId="166" fontId="6" fillId="2" borderId="0" xfId="12" applyNumberFormat="1" applyFont="1" applyFill="1"/>
    <xf numFmtId="166" fontId="0" fillId="0" borderId="0" xfId="12" applyNumberFormat="1" applyFont="1"/>
    <xf numFmtId="172" fontId="9" fillId="0" borderId="0" xfId="12" applyNumberFormat="1" applyFont="1"/>
    <xf numFmtId="173" fontId="1" fillId="0" borderId="0" xfId="3" applyNumberFormat="1"/>
    <xf numFmtId="181" fontId="9" fillId="0" borderId="0" xfId="12" applyNumberFormat="1" applyFont="1"/>
    <xf numFmtId="165" fontId="9" fillId="0" borderId="0" xfId="1" applyNumberFormat="1" applyFont="1"/>
    <xf numFmtId="165" fontId="1" fillId="0" borderId="0" xfId="12" applyNumberFormat="1"/>
    <xf numFmtId="3" fontId="61" fillId="0" borderId="0" xfId="0" applyNumberFormat="1" applyFont="1"/>
    <xf numFmtId="166" fontId="52" fillId="0" borderId="0" xfId="12" applyNumberFormat="1" applyFont="1"/>
    <xf numFmtId="165" fontId="43" fillId="0" borderId="0" xfId="13" applyNumberFormat="1" applyFont="1"/>
    <xf numFmtId="165" fontId="0" fillId="0" borderId="0" xfId="13" applyNumberFormat="1" applyFont="1"/>
  </cellXfs>
  <cellStyles count="16">
    <cellStyle name="Comma" xfId="1" builtinId="3"/>
    <cellStyle name="Comma 2" xfId="11" xr:uid="{BA50C1CF-3798-461A-82EF-1CEEEE93BF31}"/>
    <cellStyle name="Currency" xfId="2" builtinId="4"/>
    <cellStyle name="Currency 2" xfId="9" xr:uid="{66C89FC6-F2AF-4B2B-971F-55901356FC63}"/>
    <cellStyle name="Hyperlink" xfId="14" builtinId="8"/>
    <cellStyle name="Normal" xfId="0" builtinId="0"/>
    <cellStyle name="Normal 2" xfId="5" xr:uid="{52FAF038-C4FE-4EBC-9C52-23E02A9DBC6E}"/>
    <cellStyle name="Normal 2 2" xfId="6" xr:uid="{AEC8E743-1CEC-472A-9E10-A2FF54140D3B}"/>
    <cellStyle name="Normal 2 3" xfId="7" xr:uid="{C060CB28-801F-48FA-A706-48EB92A5C7E4}"/>
    <cellStyle name="Normal 3" xfId="8" xr:uid="{591C0C2F-FA68-4435-AEAF-789741B1B229}"/>
    <cellStyle name="Normal 4" xfId="4" xr:uid="{5E5D9EA0-BCC4-46FC-A402-3F55252C7F62}"/>
    <cellStyle name="Normal 4 2" xfId="12" xr:uid="{68DB3B4D-E1C0-48F7-BE59-053CCE226BBD}"/>
    <cellStyle name="Normal 5" xfId="13" xr:uid="{F018E5D2-3455-4610-B3C9-478FA7A6082E}"/>
    <cellStyle name="Normal 6" xfId="15" xr:uid="{9AFC0746-4C1A-4121-8850-448D46C87A8F}"/>
    <cellStyle name="Percent" xfId="3" builtinId="5"/>
    <cellStyle name="Percent 2" xfId="10" xr:uid="{670F56E6-FC1D-4DD5-AEF3-43535DA1630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alcChain" Target="calcChain.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06/relationships/rdRichValue" Target="richData/rdrichvalue.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SupportingPropertyBag" Target="richData/rdsupporting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SupportingPropertyBagStructure" Target="richData/rdsupportingpropertybagstructure.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ichStyles" Target="richData/richStyles.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Valuation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spPr>
            <a:solidFill>
              <a:schemeClr val="accent1"/>
            </a:solidFill>
            <a:ln>
              <a:noFill/>
            </a:ln>
            <a:effectLst/>
          </c:spPr>
          <c:invertIfNegative val="0"/>
          <c:cat>
            <c:strRef>
              <c:f>CMG_Chart!$B$9:$B$13</c:f>
              <c:strCache>
                <c:ptCount val="5"/>
                <c:pt idx="0">
                  <c:v>Public comps EV/Sales range 6.1x-4.1x</c:v>
                </c:pt>
                <c:pt idx="1">
                  <c:v>Public comps EV/EBITDA range 21.7x-41.7x</c:v>
                </c:pt>
                <c:pt idx="2">
                  <c:v>DCF w/ pepeptuity growth range 2.5%-5.0%</c:v>
                </c:pt>
                <c:pt idx="3">
                  <c:v>DCF w/ EBITDA exit multiple range12.6x-20.6x</c:v>
                </c:pt>
                <c:pt idx="4">
                  <c:v>52 week high-low</c:v>
                </c:pt>
              </c:strCache>
            </c:strRef>
          </c:cat>
          <c:val>
            <c:numRef>
              <c:f>CMG_Chart!$D$9:$D$13</c:f>
              <c:numCache>
                <c:formatCode>General</c:formatCode>
                <c:ptCount val="5"/>
              </c:numCache>
            </c:numRef>
          </c:val>
          <c:extLst>
            <c:ext xmlns:c16="http://schemas.microsoft.com/office/drawing/2014/chart" uri="{C3380CC4-5D6E-409C-BE32-E72D297353CC}">
              <c16:uniqueId val="{00000000-041F-4896-97BE-89768F40F63B}"/>
            </c:ext>
          </c:extLst>
        </c:ser>
        <c:ser>
          <c:idx val="1"/>
          <c:order val="1"/>
          <c:spPr>
            <a:solidFill>
              <a:schemeClr val="accent2"/>
            </a:solidFill>
            <a:ln>
              <a:noFill/>
            </a:ln>
            <a:effectLst/>
          </c:spPr>
          <c:invertIfNegative val="0"/>
          <c:cat>
            <c:strRef>
              <c:f>CMG_Chart!$B$9:$B$13</c:f>
              <c:strCache>
                <c:ptCount val="5"/>
                <c:pt idx="0">
                  <c:v>Public comps EV/Sales range 6.1x-4.1x</c:v>
                </c:pt>
                <c:pt idx="1">
                  <c:v>Public comps EV/EBITDA range 21.7x-41.7x</c:v>
                </c:pt>
                <c:pt idx="2">
                  <c:v>DCF w/ pepeptuity growth range 2.5%-5.0%</c:v>
                </c:pt>
                <c:pt idx="3">
                  <c:v>DCF w/ EBITDA exit multiple range12.6x-20.6x</c:v>
                </c:pt>
                <c:pt idx="4">
                  <c:v>52 week high-low</c:v>
                </c:pt>
              </c:strCache>
            </c:strRef>
          </c:cat>
          <c:val>
            <c:numRef>
              <c:f>CMG_Chart!$E$9:$E$13</c:f>
              <c:numCache>
                <c:formatCode>General</c:formatCode>
                <c:ptCount val="5"/>
              </c:numCache>
            </c:numRef>
          </c:val>
          <c:extLst>
            <c:ext xmlns:c16="http://schemas.microsoft.com/office/drawing/2014/chart" uri="{C3380CC4-5D6E-409C-BE32-E72D297353CC}">
              <c16:uniqueId val="{00000001-041F-4896-97BE-89768F40F63B}"/>
            </c:ext>
          </c:extLst>
        </c:ser>
        <c:ser>
          <c:idx val="2"/>
          <c:order val="2"/>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CMG_Chart!$B$9:$B$13</c:f>
              <c:strCache>
                <c:ptCount val="5"/>
                <c:pt idx="0">
                  <c:v>Public comps EV/Sales range 6.1x-4.1x</c:v>
                </c:pt>
                <c:pt idx="1">
                  <c:v>Public comps EV/EBITDA range 21.7x-41.7x</c:v>
                </c:pt>
                <c:pt idx="2">
                  <c:v>DCF w/ pepeptuity growth range 2.5%-5.0%</c:v>
                </c:pt>
                <c:pt idx="3">
                  <c:v>DCF w/ EBITDA exit multiple range12.6x-20.6x</c:v>
                </c:pt>
                <c:pt idx="4">
                  <c:v>52 week high-low</c:v>
                </c:pt>
              </c:strCache>
            </c:strRef>
          </c:cat>
          <c:val>
            <c:numRef>
              <c:f>CMG_Chart!$F$9:$F$13</c:f>
              <c:numCache>
                <c:formatCode>"$"#,##0.00_);\("$"#,##0.00\)</c:formatCode>
                <c:ptCount val="5"/>
                <c:pt idx="0">
                  <c:v>1526.9909642548359</c:v>
                </c:pt>
                <c:pt idx="1">
                  <c:v>896.53427589389423</c:v>
                </c:pt>
                <c:pt idx="2">
                  <c:v>620.41999999999996</c:v>
                </c:pt>
                <c:pt idx="3" formatCode="_(&quot;$&quot;* #,##0.00_);_(&quot;$&quot;* \(#,##0.00\);_(&quot;$&quot;* &quot;-&quot;??_);_(@_)">
                  <c:v>2479.5716187110324</c:v>
                </c:pt>
                <c:pt idx="4">
                  <c:v>1768.64</c:v>
                </c:pt>
              </c:numCache>
            </c:numRef>
          </c:val>
          <c:extLst>
            <c:ext xmlns:c16="http://schemas.microsoft.com/office/drawing/2014/chart" uri="{C3380CC4-5D6E-409C-BE32-E72D297353CC}">
              <c16:uniqueId val="{00000002-041F-4896-97BE-89768F40F63B}"/>
            </c:ext>
          </c:extLst>
        </c:ser>
        <c:ser>
          <c:idx val="3"/>
          <c:order val="3"/>
          <c:spPr>
            <a:solidFill>
              <a:srgbClr val="FF0000"/>
            </a:solidFill>
            <a:ln>
              <a:solidFill>
                <a:srgbClr val="FFFF00">
                  <a:alpha val="57000"/>
                </a:srgbClr>
              </a:solidFill>
            </a:ln>
            <a:effectLst/>
          </c:spPr>
          <c:invertIfNegative val="0"/>
          <c:cat>
            <c:strRef>
              <c:f>CMG_Chart!$B$9:$B$13</c:f>
              <c:strCache>
                <c:ptCount val="5"/>
                <c:pt idx="0">
                  <c:v>Public comps EV/Sales range 6.1x-4.1x</c:v>
                </c:pt>
                <c:pt idx="1">
                  <c:v>Public comps EV/EBITDA range 21.7x-41.7x</c:v>
                </c:pt>
                <c:pt idx="2">
                  <c:v>DCF w/ pepeptuity growth range 2.5%-5.0%</c:v>
                </c:pt>
                <c:pt idx="3">
                  <c:v>DCF w/ EBITDA exit multiple range12.6x-20.6x</c:v>
                </c:pt>
                <c:pt idx="4">
                  <c:v>52 week high-low</c:v>
                </c:pt>
              </c:strCache>
            </c:strRef>
          </c:cat>
          <c:val>
            <c:numRef>
              <c:f>CMG_Chart!$G$9:$G$13</c:f>
              <c:numCache>
                <c:formatCode>#,##0.00_);\(#,##0.00\)</c:formatCode>
                <c:ptCount val="5"/>
                <c:pt idx="0">
                  <c:v>-462.07313926443567</c:v>
                </c:pt>
                <c:pt idx="1">
                  <c:v>826.29887179160767</c:v>
                </c:pt>
                <c:pt idx="2">
                  <c:v>186.65000000000009</c:v>
                </c:pt>
                <c:pt idx="3">
                  <c:v>877.72446680036501</c:v>
                </c:pt>
                <c:pt idx="4">
                  <c:v>1255.3399999999999</c:v>
                </c:pt>
              </c:numCache>
            </c:numRef>
          </c:val>
          <c:extLst>
            <c:ext xmlns:c16="http://schemas.microsoft.com/office/drawing/2014/chart" uri="{C3380CC4-5D6E-409C-BE32-E72D297353CC}">
              <c16:uniqueId val="{00000003-041F-4896-97BE-89768F40F63B}"/>
            </c:ext>
          </c:extLst>
        </c:ser>
        <c:ser>
          <c:idx val="4"/>
          <c:order val="4"/>
          <c:spPr>
            <a:no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CMG_Chart!$B$9:$B$13</c:f>
              <c:strCache>
                <c:ptCount val="5"/>
                <c:pt idx="0">
                  <c:v>Public comps EV/Sales range 6.1x-4.1x</c:v>
                </c:pt>
                <c:pt idx="1">
                  <c:v>Public comps EV/EBITDA range 21.7x-41.7x</c:v>
                </c:pt>
                <c:pt idx="2">
                  <c:v>DCF w/ pepeptuity growth range 2.5%-5.0%</c:v>
                </c:pt>
                <c:pt idx="3">
                  <c:v>DCF w/ EBITDA exit multiple range12.6x-20.6x</c:v>
                </c:pt>
                <c:pt idx="4">
                  <c:v>52 week high-low</c:v>
                </c:pt>
              </c:strCache>
            </c:strRef>
          </c:cat>
          <c:val>
            <c:numRef>
              <c:f>CMG_Chart!$H$9:$H$13</c:f>
              <c:numCache>
                <c:formatCode>"$"#,##0.00_);\("$"#,##0.00\)</c:formatCode>
                <c:ptCount val="5"/>
                <c:pt idx="0">
                  <c:v>1064.9178249904003</c:v>
                </c:pt>
                <c:pt idx="1">
                  <c:v>1722.8331476855019</c:v>
                </c:pt>
                <c:pt idx="2">
                  <c:v>807.07</c:v>
                </c:pt>
                <c:pt idx="3" formatCode="_(&quot;$&quot;* #,##0.00_);_(&quot;$&quot;* \(#,##0.00\);_(&quot;$&quot;* &quot;-&quot;??_);_(@_)">
                  <c:v>3357.2960855113975</c:v>
                </c:pt>
                <c:pt idx="4">
                  <c:v>3023.98</c:v>
                </c:pt>
              </c:numCache>
            </c:numRef>
          </c:val>
          <c:extLst>
            <c:ext xmlns:c16="http://schemas.microsoft.com/office/drawing/2014/chart" uri="{C3380CC4-5D6E-409C-BE32-E72D297353CC}">
              <c16:uniqueId val="{00000004-041F-4896-97BE-89768F40F63B}"/>
            </c:ext>
          </c:extLst>
        </c:ser>
        <c:dLbls>
          <c:showLegendKey val="0"/>
          <c:showVal val="0"/>
          <c:showCatName val="0"/>
          <c:showSerName val="0"/>
          <c:showPercent val="0"/>
          <c:showBubbleSize val="0"/>
        </c:dLbls>
        <c:gapWidth val="150"/>
        <c:overlap val="100"/>
        <c:axId val="395617952"/>
        <c:axId val="395618432"/>
      </c:barChart>
      <c:lineChart>
        <c:grouping val="standard"/>
        <c:varyColors val="0"/>
        <c:ser>
          <c:idx val="5"/>
          <c:order val="5"/>
          <c:spPr>
            <a:ln w="19050" cap="rnd">
              <a:solidFill>
                <a:srgbClr val="FFFF00"/>
              </a:solidFill>
              <a:prstDash val="lgDash"/>
              <a:round/>
            </a:ln>
            <a:effectLst/>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6-041F-4896-97BE-89768F40F63B}"/>
                </c:ext>
              </c:extLst>
            </c:dLbl>
            <c:dLbl>
              <c:idx val="1"/>
              <c:delete val="1"/>
              <c:extLst>
                <c:ext xmlns:c15="http://schemas.microsoft.com/office/drawing/2012/chart" uri="{CE6537A1-D6FC-4f65-9D91-7224C49458BB}"/>
                <c:ext xmlns:c16="http://schemas.microsoft.com/office/drawing/2014/chart" uri="{C3380CC4-5D6E-409C-BE32-E72D297353CC}">
                  <c16:uniqueId val="{00000007-041F-4896-97BE-89768F40F63B}"/>
                </c:ext>
              </c:extLst>
            </c:dLbl>
            <c:dLbl>
              <c:idx val="2"/>
              <c:delete val="1"/>
              <c:extLst>
                <c:ext xmlns:c15="http://schemas.microsoft.com/office/drawing/2012/chart" uri="{CE6537A1-D6FC-4f65-9D91-7224C49458BB}"/>
                <c:ext xmlns:c16="http://schemas.microsoft.com/office/drawing/2014/chart" uri="{C3380CC4-5D6E-409C-BE32-E72D297353CC}">
                  <c16:uniqueId val="{00000008-041F-4896-97BE-89768F40F63B}"/>
                </c:ext>
              </c:extLst>
            </c:dLbl>
            <c:dLbl>
              <c:idx val="3"/>
              <c:delete val="1"/>
              <c:extLst>
                <c:ext xmlns:c15="http://schemas.microsoft.com/office/drawing/2012/chart" uri="{CE6537A1-D6FC-4f65-9D91-7224C49458BB}"/>
                <c:ext xmlns:c16="http://schemas.microsoft.com/office/drawing/2014/chart" uri="{C3380CC4-5D6E-409C-BE32-E72D297353CC}">
                  <c16:uniqueId val="{00000009-041F-4896-97BE-89768F40F63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CMG_Chart!$B$9:$B$13</c:f>
              <c:strCache>
                <c:ptCount val="5"/>
                <c:pt idx="0">
                  <c:v>Public comps EV/Sales range 6.1x-4.1x</c:v>
                </c:pt>
                <c:pt idx="1">
                  <c:v>Public comps EV/EBITDA range 21.7x-41.7x</c:v>
                </c:pt>
                <c:pt idx="2">
                  <c:v>DCF w/ pepeptuity growth range 2.5%-5.0%</c:v>
                </c:pt>
                <c:pt idx="3">
                  <c:v>DCF w/ EBITDA exit multiple range12.6x-20.6x</c:v>
                </c:pt>
                <c:pt idx="4">
                  <c:v>52 week high-low</c:v>
                </c:pt>
              </c:strCache>
            </c:strRef>
          </c:cat>
          <c:val>
            <c:numRef>
              <c:f>CMG_Chart!$M$9:$M$13</c:f>
              <c:numCache>
                <c:formatCode>"$"#,##0.00_);\("$"#,##0.00\)</c:formatCode>
                <c:ptCount val="5"/>
                <c:pt idx="0">
                  <c:v>2884.25</c:v>
                </c:pt>
                <c:pt idx="1">
                  <c:v>2884.25</c:v>
                </c:pt>
                <c:pt idx="2">
                  <c:v>2884.25</c:v>
                </c:pt>
                <c:pt idx="3">
                  <c:v>2884.25</c:v>
                </c:pt>
                <c:pt idx="4">
                  <c:v>2884.25</c:v>
                </c:pt>
              </c:numCache>
            </c:numRef>
          </c:val>
          <c:smooth val="0"/>
          <c:extLst>
            <c:ext xmlns:c16="http://schemas.microsoft.com/office/drawing/2014/chart" uri="{C3380CC4-5D6E-409C-BE32-E72D297353CC}">
              <c16:uniqueId val="{00000005-041F-4896-97BE-89768F40F63B}"/>
            </c:ext>
          </c:extLst>
        </c:ser>
        <c:dLbls>
          <c:showLegendKey val="0"/>
          <c:showVal val="0"/>
          <c:showCatName val="0"/>
          <c:showSerName val="0"/>
          <c:showPercent val="0"/>
          <c:showBubbleSize val="0"/>
        </c:dLbls>
        <c:marker val="1"/>
        <c:smooth val="0"/>
        <c:axId val="395617952"/>
        <c:axId val="395618432"/>
      </c:lineChart>
      <c:catAx>
        <c:axId val="395617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5618432"/>
        <c:crosses val="autoZero"/>
        <c:auto val="1"/>
        <c:lblAlgn val="ctr"/>
        <c:lblOffset val="100"/>
        <c:noMultiLvlLbl val="0"/>
      </c:catAx>
      <c:valAx>
        <c:axId val="395618432"/>
        <c:scaling>
          <c:orientation val="minMax"/>
          <c:max val="5000"/>
          <c:min val="0"/>
        </c:scaling>
        <c:delete val="0"/>
        <c:axPos val="l"/>
        <c:majorGridlines>
          <c:spPr>
            <a:ln w="9525" cap="flat" cmpd="sng" algn="ctr">
              <a:noFill/>
              <a:round/>
            </a:ln>
            <a:effectLst/>
          </c:spPr>
        </c:majorGridlines>
        <c:numFmt formatCode="General" sourceLinked="1"/>
        <c:majorTickMark val="in"/>
        <c:minorTickMark val="none"/>
        <c:tickLblPos val="nextTo"/>
        <c:spPr>
          <a:solidFill>
            <a:schemeClr val="bg1"/>
          </a:solidFill>
          <a:ln>
            <a:solidFill>
              <a:schemeClr val="bg2"/>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5617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1621</xdr:colOff>
      <xdr:row>17</xdr:row>
      <xdr:rowOff>64770</xdr:rowOff>
    </xdr:from>
    <xdr:to>
      <xdr:col>15</xdr:col>
      <xdr:colOff>378298</xdr:colOff>
      <xdr:row>37</xdr:row>
      <xdr:rowOff>60960</xdr:rowOff>
    </xdr:to>
    <xdr:graphicFrame macro="">
      <xdr:nvGraphicFramePr>
        <xdr:cNvPr id="2" name="Chart 1">
          <a:extLst>
            <a:ext uri="{FF2B5EF4-FFF2-40B4-BE49-F238E27FC236}">
              <a16:creationId xmlns:a16="http://schemas.microsoft.com/office/drawing/2014/main" id="{86701C6D-7CFD-8C4E-5BF8-F64FEE24B5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847725" cy="476250"/>
    <xdr:pic>
      <xdr:nvPicPr>
        <xdr:cNvPr id="2" name="Logo" descr="Logo">
          <a:extLst>
            <a:ext uri="{FF2B5EF4-FFF2-40B4-BE49-F238E27FC236}">
              <a16:creationId xmlns:a16="http://schemas.microsoft.com/office/drawing/2014/main" id="{9A9F6F9F-37B6-4163-9E2C-EE8F3AFDB20E}"/>
            </a:ext>
          </a:extLst>
        </xdr:cNvPr>
        <xdr:cNvPicPr>
          <a:picLocks noChangeAspect="1"/>
        </xdr:cNvPicPr>
      </xdr:nvPicPr>
      <xdr:blipFill>
        <a:blip xmlns:r="http://schemas.openxmlformats.org/officeDocument/2006/relationships" r:embed="rId1"/>
        <a:stretch>
          <a:fillRect/>
        </a:stretch>
      </xdr:blipFill>
      <xdr:spPr>
        <a:xfrm>
          <a:off x="0" y="0"/>
          <a:ext cx="847725" cy="47625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847725" cy="476250"/>
    <xdr:pic>
      <xdr:nvPicPr>
        <xdr:cNvPr id="2" name="Logo" descr="Logo">
          <a:extLst>
            <a:ext uri="{FF2B5EF4-FFF2-40B4-BE49-F238E27FC236}">
              <a16:creationId xmlns:a16="http://schemas.microsoft.com/office/drawing/2014/main" id="{808868EA-6677-4E98-BC1F-633BDD732047}"/>
            </a:ext>
          </a:extLst>
        </xdr:cNvPr>
        <xdr:cNvPicPr>
          <a:picLocks noChangeAspect="1"/>
        </xdr:cNvPicPr>
      </xdr:nvPicPr>
      <xdr:blipFill>
        <a:blip xmlns:r="http://schemas.openxmlformats.org/officeDocument/2006/relationships" r:embed="rId1"/>
        <a:stretch>
          <a:fillRect/>
        </a:stretch>
      </xdr:blipFill>
      <xdr:spPr>
        <a:xfrm>
          <a:off x="0" y="0"/>
          <a:ext cx="847725" cy="47625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847725" cy="476250"/>
    <xdr:pic>
      <xdr:nvPicPr>
        <xdr:cNvPr id="2" name="Logo" descr="Logo">
          <a:extLst>
            <a:ext uri="{FF2B5EF4-FFF2-40B4-BE49-F238E27FC236}">
              <a16:creationId xmlns:a16="http://schemas.microsoft.com/office/drawing/2014/main" id="{7E821F97-8AE9-4E9F-B15E-EEDDA9C6F9C0}"/>
            </a:ext>
          </a:extLst>
        </xdr:cNvPr>
        <xdr:cNvPicPr>
          <a:picLocks noChangeAspect="1"/>
        </xdr:cNvPicPr>
      </xdr:nvPicPr>
      <xdr:blipFill>
        <a:blip xmlns:r="http://schemas.openxmlformats.org/officeDocument/2006/relationships" r:embed="rId1"/>
        <a:stretch>
          <a:fillRect/>
        </a:stretch>
      </xdr:blipFill>
      <xdr:spPr>
        <a:xfrm>
          <a:off x="0" y="0"/>
          <a:ext cx="847725" cy="476250"/>
        </a:xfrm>
        <a:prstGeom prst="rect">
          <a:avLst/>
        </a:prstGeom>
      </xdr:spPr>
    </xdr:pic>
    <xdr:clientData/>
  </xdr:one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3">
  <rv s="0">
    <v>https://www.bing.com/financeapi/forcetrigger?t=a1pxbh&amp;q=XNYS%3aCMG&amp;form=skydnc</v>
    <v>Learn more on Bing</v>
  </rv>
  <rv s="1">
    <v>0</v>
    <v>CHIPOTLE MEXICAN GRILL, INC. (XNYS:CMG)</v>
    <v>2</v>
    <v>3</v>
    <v>Finance</v>
    <v>4</v>
    <v>en-US</v>
    <v>a1pxbh</v>
    <v>268435456</v>
    <v>1</v>
    <v>Powered by Refinitiv</v>
    <v>69.261399999999995</v>
    <v>44.46</v>
    <v>1.0929</v>
    <v>0.35</v>
    <v>6.999E-3</v>
    <v>0.76</v>
    <v>1.5091E-2</v>
    <v>USD</v>
    <v>Chipotle Mexican Grill, Inc. is a restaurant company. The Company, through its subsidiaries, owns and operates Chipotle Mexican Grill restaurants, which feature a relevant menu of burritos, burrito bowls (a burrito without the tortilla), quesadillas, tacos, and salads. The Company operates over 3,700 restaurants in the United States, Canada, the United Kingdom, France, Germany, Kuwait, and the United Arab Emirates. It has made digital ordering convenient with enhancements to the Chipotle app and Website, such as customization, contactless delivery, and group ordering. Its application also includes order readiness messaging, wrong location detection and reminders to scan for points. The Company’s subsidiaries include Chipotle Mexican Grill Canada Corp., Chipotle Mexican Grill France SAS, Chipotle Mexican Grill of Berwyn Heights, LLC, Chipotle Mexican Grill Germany GMBH, and Chipotle Mexican Grill U.S. Finance Co., LLC, among others.</v>
    <v>130504</v>
    <v>New York Stock Exchange</v>
    <v>XNYS</v>
    <v>XNYS</v>
    <v>610 Newport Center Dr., NEWPORT BEACH, CA, 92660 US</v>
    <v>50.92</v>
    <v>Hotels &amp; Entertainment Services</v>
    <v>Stock</v>
    <v>45783.97596913125</v>
    <v>0</v>
    <v>49.51</v>
    <v>67853251040</v>
    <v>CHIPOTLE MEXICAN GRILL, INC.</v>
    <v>CHIPOTLE MEXICAN GRILL, INC.</v>
    <v>49.575000000000003</v>
    <v>44.249200000000002</v>
    <v>50.01</v>
    <v>50.36</v>
    <v>51.12</v>
    <v>1347364000</v>
    <v>CMG</v>
    <v>CHIPOTLE MEXICAN GRILL, INC. (XNYS:CMG)</v>
    <v>9758038</v>
    <v>15325488</v>
    <v>1998</v>
  </rv>
  <rv s="2">
    <v>1</v>
  </rv>
</rvData>
</file>

<file path=xl/richData/rdrichvaluestructure.xml><?xml version="1.0" encoding="utf-8"?>
<rvStructures xmlns="http://schemas.microsoft.com/office/spreadsheetml/2017/richdata" count="3">
  <s t="_hyperlink">
    <k n="Address" t="s"/>
    <k n="Text" t="s"/>
  </s>
  <s t="_linkedentitycore">
    <k n="_Display" t="spb"/>
    <k n="_DisplayString" t="s"/>
    <k n="_Flags" t="spb"/>
    <k n="_Format" t="spb"/>
    <k n="_Icon" t="s"/>
    <k n="_SubLabel" t="spb"/>
    <k n="%EntityCulture" t="s"/>
    <k n="%EntityId" t="s"/>
    <k n="%EntityServiceId"/>
    <k n="%IsRefreshable" t="b"/>
    <k n="%ProviderInfo" t="s"/>
    <k n="52 week high"/>
    <k n="52 week low"/>
    <k n="Beta"/>
    <k n="Change"/>
    <k n="Change (%)"/>
    <k n="Change (Extended hours)"/>
    <k n="Change %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rvStructures>
</file>

<file path=xl/richData/rdsupportingpropertybag.xml><?xml version="1.0" encoding="utf-8"?>
<supportingPropertyBags xmlns="http://schemas.microsoft.com/office/spreadsheetml/2017/richdata2">
  <spbArrays count="1">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5">
    <spb s="0">
      <v>0</v>
      <v>Name</v>
      <v>LearnMoreOnLink</v>
    </spb>
    <spb s="1">
      <v>0</v>
      <v>0</v>
      <v>0</v>
    </spb>
    <spb s="2">
      <v>1</v>
      <v>1</v>
      <v>1</v>
      <v>1</v>
    </spb>
    <spb s="3">
      <v>1</v>
      <v>2</v>
      <v>2</v>
      <v>1</v>
      <v>3</v>
      <v>1</v>
      <v>1</v>
      <v>1</v>
      <v>4</v>
      <v>4</v>
      <v>5</v>
      <v>6</v>
      <v>1</v>
      <v>1</v>
      <v>1</v>
      <v>4</v>
      <v>7</v>
      <v>8</v>
      <v>9</v>
      <v>4</v>
      <v>1</v>
      <v>1</v>
      <v>5</v>
    </spb>
    <spb s="4">
      <v>at close</v>
      <v>from previous close</v>
      <v>from previous close</v>
      <v>Source: Nasdaq Last Sale</v>
      <v>GMT</v>
      <v>Real-Time Nasdaq Last Sale</v>
      <v>from close</v>
      <v>from close</v>
    </spb>
  </spbData>
</supportingPropertyBags>
</file>

<file path=xl/richData/rdsupportingpropertybagstructure.xml><?xml version="1.0" encoding="utf-8"?>
<spbStructures xmlns="http://schemas.microsoft.com/office/spreadsheetml/2017/richdata2" count="5">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0" formatCode="General"/>
    </x:dxf>
    <x:dxf>
      <x:numFmt numFmtId="4" formatCode="#,##0.00"/>
    </x:dxf>
    <x:dxf>
      <x:numFmt numFmtId="3" formatCode="#,##0"/>
    </x:dxf>
    <x:dxf>
      <x:numFmt numFmtId="14" formatCode="0.00%"/>
    </x:dxf>
    <x:dxf>
      <x:numFmt numFmtId="1" formatCode="0"/>
    </x:dxf>
    <x:dxf>
      <x:numFmt numFmtId="2" formatCode="0.00"/>
    </x:dxf>
    <x:dxf>
      <x:numFmt numFmtId="27" formatCode="m/d/yy\ h:mm"/>
    </x:dxf>
  </dxfs>
  <richProperties>
    <rPr n="NumberFormat" t="s"/>
    <rPr n="IsTitleField" t="b"/>
  </richProperties>
  <richStyles>
    <rSty dxfid="0">
      <rpv i="0">_([$$-en-US]* #,##0.00_);_([$$-en-US]* (#,##0.00);_([$$-en-US]* "-"??_);_(@_)</rpv>
    </rSty>
    <rSty dxfid="1">
      <rpv i="0">#,##0.00</rpv>
    </rSty>
    <rSty>
      <rpv i="1">1</rpv>
    </rSty>
    <rSty dxfid="2">
      <rpv i="0">#,##0</rpv>
    </rSty>
    <rSty dxfid="3"/>
    <rSty dxfid="0">
      <rpv i="0">_([$$-en-US]* #,##0_);_([$$-en-US]* (#,##0);_([$$-en-US]* "-"_);_(@_)</rpv>
    </rSty>
    <rSty dxfid="6"/>
    <rSty dxfid="4">
      <rpv i="0">0</rpv>
    </rSty>
    <rSty dxfid="5">
      <rpv i="0">0.00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0095A-9F82-4BB4-ABC2-D82D36353052}">
  <dimension ref="A1:N18"/>
  <sheetViews>
    <sheetView topLeftCell="A8" zoomScale="94" workbookViewId="0">
      <selection activeCell="B29" sqref="B29"/>
    </sheetView>
  </sheetViews>
  <sheetFormatPr baseColWidth="10" defaultColWidth="8.83203125" defaultRowHeight="15" x14ac:dyDescent="0.2"/>
  <cols>
    <col min="1" max="1" width="3.33203125" customWidth="1"/>
    <col min="2" max="2" width="44.5" bestFit="1" customWidth="1"/>
    <col min="3" max="3" width="16.33203125" customWidth="1"/>
    <col min="4" max="4" width="9.6640625" customWidth="1"/>
    <col min="5" max="5" width="12.5" customWidth="1"/>
    <col min="6" max="6" width="10.5" bestFit="1" customWidth="1"/>
    <col min="8" max="8" width="10.5" bestFit="1" customWidth="1"/>
    <col min="13" max="13" width="9.6640625" bestFit="1" customWidth="1"/>
  </cols>
  <sheetData>
    <row r="1" spans="1:14" x14ac:dyDescent="0.2">
      <c r="A1" s="343" t="s">
        <v>0</v>
      </c>
      <c r="B1" s="344"/>
      <c r="C1" s="344"/>
      <c r="D1" s="344"/>
      <c r="E1" s="344"/>
      <c r="F1" s="344"/>
      <c r="G1" s="344"/>
      <c r="H1" s="344"/>
      <c r="I1" s="344"/>
      <c r="J1" s="344"/>
      <c r="K1" s="344"/>
      <c r="L1" s="344"/>
      <c r="M1" s="344"/>
      <c r="N1" s="344"/>
    </row>
    <row r="2" spans="1:14" x14ac:dyDescent="0.2">
      <c r="A2" s="344"/>
      <c r="B2" s="344"/>
      <c r="C2" s="344"/>
      <c r="D2" s="344"/>
      <c r="E2" s="344"/>
      <c r="F2" s="344"/>
      <c r="G2" s="344"/>
      <c r="H2" s="344"/>
      <c r="I2" s="344"/>
      <c r="J2" s="344"/>
      <c r="K2" s="344"/>
      <c r="L2" s="344"/>
      <c r="M2" s="344"/>
      <c r="N2" s="344"/>
    </row>
    <row r="3" spans="1:14" x14ac:dyDescent="0.2">
      <c r="A3" s="344"/>
      <c r="B3" s="344" t="s">
        <v>1</v>
      </c>
      <c r="C3" s="345">
        <v>45404</v>
      </c>
      <c r="D3" s="346"/>
      <c r="E3" s="346"/>
      <c r="F3" s="344"/>
      <c r="G3" s="344"/>
      <c r="H3" s="344"/>
      <c r="I3" s="344"/>
      <c r="J3" s="344"/>
      <c r="K3" s="344"/>
      <c r="L3" s="344"/>
      <c r="M3" s="344"/>
      <c r="N3" s="344"/>
    </row>
    <row r="4" spans="1:14" x14ac:dyDescent="0.2">
      <c r="A4" s="344"/>
      <c r="B4" s="344" t="s">
        <v>2</v>
      </c>
      <c r="C4" s="356">
        <v>2884.25</v>
      </c>
      <c r="D4" s="347"/>
      <c r="E4" s="347"/>
      <c r="F4" s="344"/>
      <c r="G4" s="344"/>
      <c r="H4" s="344"/>
      <c r="I4" s="344"/>
      <c r="J4" s="344"/>
      <c r="K4" s="344"/>
      <c r="L4" s="344"/>
      <c r="M4" s="344"/>
      <c r="N4" s="344"/>
    </row>
    <row r="5" spans="1:14" x14ac:dyDescent="0.2">
      <c r="A5" s="344"/>
      <c r="B5" s="344"/>
      <c r="C5" s="344"/>
      <c r="D5" s="348"/>
      <c r="E5" s="344"/>
      <c r="F5" s="344"/>
      <c r="G5" s="344"/>
      <c r="H5" s="344"/>
      <c r="I5" s="344"/>
      <c r="J5" s="344"/>
      <c r="K5" s="344"/>
      <c r="L5" s="344"/>
      <c r="M5" s="344"/>
      <c r="N5" s="344"/>
    </row>
    <row r="6" spans="1:14" x14ac:dyDescent="0.2">
      <c r="A6" s="344"/>
      <c r="B6" s="344"/>
      <c r="C6" s="344"/>
      <c r="D6" s="344"/>
      <c r="E6" s="344"/>
      <c r="F6" s="344"/>
      <c r="G6" s="344"/>
      <c r="H6" s="344"/>
      <c r="I6" s="344"/>
      <c r="J6" s="344"/>
      <c r="K6" s="344"/>
      <c r="L6" s="344"/>
      <c r="M6" s="344"/>
      <c r="N6" s="344"/>
    </row>
    <row r="7" spans="1:14" x14ac:dyDescent="0.2">
      <c r="A7" s="344"/>
      <c r="B7" s="343" t="s">
        <v>3</v>
      </c>
      <c r="C7" s="344"/>
      <c r="D7" s="344"/>
      <c r="E7" s="344"/>
      <c r="F7" s="344"/>
      <c r="G7" s="344"/>
      <c r="H7" s="344"/>
      <c r="I7" s="344"/>
      <c r="J7" s="349" t="s">
        <v>4</v>
      </c>
      <c r="K7" s="350"/>
      <c r="L7" s="344"/>
      <c r="M7" s="344"/>
      <c r="N7" s="344"/>
    </row>
    <row r="8" spans="1:14" x14ac:dyDescent="0.2">
      <c r="A8" s="344"/>
      <c r="B8" s="343" t="s">
        <v>5</v>
      </c>
      <c r="C8" s="343"/>
      <c r="D8" s="343"/>
      <c r="E8" s="343"/>
      <c r="F8" s="351" t="s">
        <v>6</v>
      </c>
      <c r="G8" s="351" t="s">
        <v>7</v>
      </c>
      <c r="H8" s="351" t="s">
        <v>8</v>
      </c>
      <c r="I8" s="344"/>
      <c r="J8" s="343" t="s">
        <v>6</v>
      </c>
      <c r="K8" s="343" t="s">
        <v>8</v>
      </c>
      <c r="L8" s="344"/>
      <c r="M8" s="343" t="s">
        <v>2</v>
      </c>
      <c r="N8" s="344"/>
    </row>
    <row r="9" spans="1:14" x14ac:dyDescent="0.2">
      <c r="A9" s="344"/>
      <c r="B9" s="344" t="str">
        <f ca="1">"Public comps EV/Sales range "&amp;TEXT(J9,"0.0x")&amp;"-"&amp;TEXT(K9,"0.0x")</f>
        <v>Public comps EV/Sales range 6.1x-4.1x</v>
      </c>
      <c r="D9" s="344"/>
      <c r="E9" s="344"/>
      <c r="F9" s="352">
        <f>CMG_Comps!D26</f>
        <v>1526.9909642548359</v>
      </c>
      <c r="G9" s="353">
        <f ca="1">H9-F9</f>
        <v>-462.07313926443567</v>
      </c>
      <c r="H9" s="352">
        <f ca="1">CMG_Comps!D27</f>
        <v>1064.9178249904003</v>
      </c>
      <c r="I9" s="344"/>
      <c r="J9" s="354">
        <f>CMG_Comps!H26</f>
        <v>6.1</v>
      </c>
      <c r="K9" s="354">
        <f ca="1">CMG_Comps!H27</f>
        <v>4.0675654620137971</v>
      </c>
      <c r="L9" s="344"/>
      <c r="M9" s="348">
        <f>$C$4</f>
        <v>2884.25</v>
      </c>
      <c r="N9" s="344"/>
    </row>
    <row r="10" spans="1:14" x14ac:dyDescent="0.2">
      <c r="A10" s="344"/>
      <c r="B10" s="344" t="str">
        <f>"Public comps EV/EBITDA range "&amp;TEXT(J10,"0.0x")&amp;"-"&amp;TEXT(K10,"0.0x")</f>
        <v>Public comps EV/EBITDA range 21.7x-41.7x</v>
      </c>
      <c r="D10" s="344"/>
      <c r="E10" s="344"/>
      <c r="F10" s="352">
        <f>CMG_Comps!D28</f>
        <v>896.53427589389423</v>
      </c>
      <c r="G10" s="353">
        <f t="shared" ref="G10:G13" si="0">H10-F10</f>
        <v>826.29887179160767</v>
      </c>
      <c r="H10" s="352">
        <f>CMG_Comps!D29</f>
        <v>1722.8331476855019</v>
      </c>
      <c r="I10" s="344"/>
      <c r="J10" s="354">
        <f>CMG_Comps!I28</f>
        <v>21.7</v>
      </c>
      <c r="K10" s="354">
        <f>CMG_Comps!I29</f>
        <v>41.7</v>
      </c>
      <c r="L10" s="344"/>
      <c r="M10" s="348">
        <f t="shared" ref="M10:M13" si="1">$C$4</f>
        <v>2884.25</v>
      </c>
      <c r="N10" s="344"/>
    </row>
    <row r="11" spans="1:14" x14ac:dyDescent="0.2">
      <c r="A11" s="344"/>
      <c r="B11" s="344" t="str">
        <f>"DCF w/ pepeptuity growth range "&amp;TEXT(J11,"0.0%")&amp;"-"&amp;TEXT(K11,"0.0%")</f>
        <v>DCF w/ pepeptuity growth range 2.5%-5.0%</v>
      </c>
      <c r="D11" s="344"/>
      <c r="E11" s="344"/>
      <c r="F11" s="352">
        <f>CMG_DCF!G142</f>
        <v>620.41999999999996</v>
      </c>
      <c r="G11" s="353">
        <f>H11-F11</f>
        <v>186.65000000000009</v>
      </c>
      <c r="H11" s="352">
        <f>CMG_DCF!G132</f>
        <v>807.07</v>
      </c>
      <c r="I11" s="344"/>
      <c r="J11" s="355">
        <f>CMG_DCF!C142</f>
        <v>2.5000000000000001E-2</v>
      </c>
      <c r="K11" s="355">
        <f>CMG_DCF!C132</f>
        <v>0.05</v>
      </c>
      <c r="L11" s="344"/>
      <c r="M11" s="348">
        <f t="shared" si="1"/>
        <v>2884.25</v>
      </c>
      <c r="N11" s="344"/>
    </row>
    <row r="12" spans="1:14" x14ac:dyDescent="0.2">
      <c r="A12" s="344"/>
      <c r="B12" s="344" t="str">
        <f>"DCF w/ EBITDA exit multiple range"&amp;TEXT(J12,"0.0x")&amp;"-"&amp;TEXT(K12,"0.0x")</f>
        <v>DCF w/ EBITDA exit multiple range12.6x-20.6x</v>
      </c>
      <c r="D12" s="344"/>
      <c r="E12" s="344"/>
      <c r="F12" s="359">
        <f>CMG_DCF!C151</f>
        <v>2479.5716187110324</v>
      </c>
      <c r="G12" s="353">
        <f t="shared" si="0"/>
        <v>877.72446680036501</v>
      </c>
      <c r="H12" s="359">
        <f>CMG_DCF!K151</f>
        <v>3357.2960855113975</v>
      </c>
      <c r="I12" s="344"/>
      <c r="J12" s="354">
        <f>CMG_DCF!C150</f>
        <v>12.600000000000001</v>
      </c>
      <c r="K12" s="354">
        <f>CMG_DCF!K150</f>
        <v>20.6</v>
      </c>
      <c r="L12" s="344"/>
      <c r="M12" s="348">
        <f t="shared" si="1"/>
        <v>2884.25</v>
      </c>
      <c r="N12" s="344"/>
    </row>
    <row r="13" spans="1:14" x14ac:dyDescent="0.2">
      <c r="A13" s="344"/>
      <c r="B13" s="344" t="s">
        <v>9</v>
      </c>
      <c r="D13" s="344"/>
      <c r="E13" s="344"/>
      <c r="F13" s="347">
        <v>1768.64</v>
      </c>
      <c r="G13" s="353">
        <f t="shared" si="0"/>
        <v>1255.3399999999999</v>
      </c>
      <c r="H13" s="347">
        <v>3023.98</v>
      </c>
      <c r="I13" s="344"/>
      <c r="J13" s="344"/>
      <c r="K13" s="344"/>
      <c r="L13" s="344"/>
      <c r="M13" s="348">
        <f t="shared" si="1"/>
        <v>2884.25</v>
      </c>
      <c r="N13" s="344"/>
    </row>
    <row r="14" spans="1:14" x14ac:dyDescent="0.2">
      <c r="A14" s="344"/>
      <c r="B14" s="344"/>
      <c r="C14" s="344"/>
      <c r="D14" s="344"/>
      <c r="E14" s="344"/>
      <c r="F14" s="344"/>
      <c r="G14" s="344"/>
      <c r="H14" s="344"/>
      <c r="I14" s="344"/>
      <c r="J14" s="344"/>
      <c r="K14" s="344"/>
      <c r="L14" s="344"/>
      <c r="M14" s="344"/>
      <c r="N14" s="344"/>
    </row>
    <row r="15" spans="1:14" x14ac:dyDescent="0.2">
      <c r="A15" s="344"/>
      <c r="B15" s="344"/>
      <c r="C15" s="344"/>
      <c r="D15" s="344"/>
      <c r="E15" s="344"/>
      <c r="F15" s="344"/>
      <c r="G15" s="344"/>
      <c r="H15" s="344"/>
      <c r="I15" s="344"/>
      <c r="J15" s="344"/>
      <c r="K15" s="344"/>
      <c r="L15" s="344"/>
      <c r="M15" s="344"/>
      <c r="N15" s="344"/>
    </row>
    <row r="16" spans="1:14" x14ac:dyDescent="0.2">
      <c r="A16" s="344"/>
      <c r="B16" s="344"/>
      <c r="C16" s="344"/>
      <c r="D16" s="344"/>
      <c r="E16" s="344"/>
      <c r="F16" s="344"/>
      <c r="G16" s="344"/>
      <c r="H16" s="344"/>
      <c r="I16" s="344"/>
      <c r="J16" s="344"/>
      <c r="K16" s="344"/>
      <c r="L16" s="344"/>
      <c r="M16" s="344"/>
      <c r="N16" s="344"/>
    </row>
    <row r="17" spans="1:14" x14ac:dyDescent="0.2">
      <c r="A17" s="344"/>
      <c r="B17" s="344"/>
      <c r="C17" s="344"/>
      <c r="D17" s="344"/>
      <c r="E17" s="344"/>
      <c r="F17" s="344"/>
      <c r="G17" s="344"/>
      <c r="H17" s="344"/>
      <c r="I17" s="344"/>
      <c r="J17" s="344"/>
      <c r="K17" s="344"/>
      <c r="L17" s="344"/>
      <c r="M17" s="344"/>
      <c r="N17" s="344"/>
    </row>
    <row r="18" spans="1:14" x14ac:dyDescent="0.2">
      <c r="A18" s="344"/>
      <c r="B18" s="344"/>
      <c r="C18" s="344"/>
      <c r="D18" s="344"/>
      <c r="E18" s="344"/>
      <c r="F18" s="344"/>
      <c r="G18" s="344"/>
      <c r="H18" s="344"/>
      <c r="I18" s="344"/>
      <c r="J18" s="344"/>
      <c r="K18" s="344"/>
      <c r="L18" s="344"/>
      <c r="M18" s="344"/>
      <c r="N18" s="344"/>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A4CCD-76A5-401D-A09F-2B7C37140D53}">
  <dimension ref="A1:G30"/>
  <sheetViews>
    <sheetView workbookViewId="0">
      <selection activeCell="B29" sqref="B29"/>
    </sheetView>
  </sheetViews>
  <sheetFormatPr baseColWidth="10" defaultColWidth="8.83203125" defaultRowHeight="15" x14ac:dyDescent="0.2"/>
  <cols>
    <col min="5" max="5" width="10.6640625" customWidth="1"/>
  </cols>
  <sheetData>
    <row r="1" spans="1:7" x14ac:dyDescent="0.2">
      <c r="A1" s="237"/>
      <c r="B1" s="237"/>
      <c r="C1" s="237"/>
      <c r="D1" s="237"/>
      <c r="E1" s="237"/>
      <c r="F1" s="237"/>
      <c r="G1" s="237"/>
    </row>
    <row r="2" spans="1:7" ht="19" x14ac:dyDescent="0.25">
      <c r="A2" s="238"/>
      <c r="B2" s="239" t="s">
        <v>361</v>
      </c>
      <c r="C2" s="239"/>
      <c r="D2" s="238"/>
      <c r="E2" s="238"/>
      <c r="F2" s="238"/>
      <c r="G2" s="238"/>
    </row>
    <row r="3" spans="1:7" x14ac:dyDescent="0.2">
      <c r="A3" s="237"/>
      <c r="B3" s="240" t="s">
        <v>362</v>
      </c>
      <c r="C3" s="240"/>
      <c r="D3" s="237"/>
      <c r="E3" s="241">
        <v>0</v>
      </c>
      <c r="F3" s="237"/>
      <c r="G3" s="237"/>
    </row>
    <row r="4" spans="1:7" x14ac:dyDescent="0.2">
      <c r="A4" s="237"/>
      <c r="B4" s="240" t="s">
        <v>363</v>
      </c>
      <c r="C4" s="240"/>
      <c r="D4" s="237"/>
      <c r="E4" s="242">
        <v>1302.5999999999999</v>
      </c>
      <c r="F4" s="237"/>
      <c r="G4" s="237"/>
    </row>
    <row r="5" spans="1:7" x14ac:dyDescent="0.2">
      <c r="A5" s="237"/>
      <c r="B5" s="240" t="s">
        <v>364</v>
      </c>
      <c r="C5" s="240"/>
      <c r="D5" s="237"/>
      <c r="E5" s="243">
        <v>4.4000000000000004</v>
      </c>
      <c r="F5" s="237"/>
      <c r="G5" s="237"/>
    </row>
    <row r="6" spans="1:7" x14ac:dyDescent="0.2">
      <c r="A6" s="237"/>
      <c r="B6" s="240" t="s">
        <v>365</v>
      </c>
      <c r="C6" s="240"/>
      <c r="D6" s="237"/>
      <c r="E6" s="244">
        <v>0.36399999999999999</v>
      </c>
      <c r="F6" s="240" t="s">
        <v>366</v>
      </c>
      <c r="G6" s="237"/>
    </row>
    <row r="7" spans="1:7" x14ac:dyDescent="0.2">
      <c r="A7" s="237"/>
      <c r="B7" s="240" t="s">
        <v>367</v>
      </c>
      <c r="C7" s="240"/>
      <c r="D7" s="237"/>
      <c r="E7" s="245">
        <v>0</v>
      </c>
      <c r="F7" s="237"/>
      <c r="G7" s="237"/>
    </row>
    <row r="8" spans="1:7" x14ac:dyDescent="0.2">
      <c r="A8" s="237"/>
      <c r="B8" s="240" t="s">
        <v>368</v>
      </c>
      <c r="C8" s="240"/>
      <c r="D8" s="237"/>
      <c r="E8" s="246">
        <v>4.2000000000000003E-2</v>
      </c>
      <c r="F8" s="237"/>
      <c r="G8" s="237"/>
    </row>
    <row r="9" spans="1:7" x14ac:dyDescent="0.2">
      <c r="A9" s="237"/>
      <c r="B9" s="240" t="s">
        <v>369</v>
      </c>
      <c r="C9" s="240"/>
      <c r="D9" s="237"/>
      <c r="E9" s="247">
        <v>295</v>
      </c>
      <c r="F9" s="237"/>
      <c r="G9" s="237"/>
    </row>
    <row r="10" spans="1:7" x14ac:dyDescent="0.2">
      <c r="A10" s="237"/>
      <c r="B10" s="240" t="s">
        <v>370</v>
      </c>
      <c r="C10" s="240"/>
      <c r="D10" s="237"/>
      <c r="E10" s="247">
        <v>37483</v>
      </c>
      <c r="F10" s="237"/>
      <c r="G10" s="237"/>
    </row>
    <row r="11" spans="1:7" x14ac:dyDescent="0.2">
      <c r="A11" s="237"/>
      <c r="B11" s="240"/>
      <c r="C11" s="240"/>
      <c r="D11" s="237"/>
      <c r="E11" s="248"/>
      <c r="F11" s="237"/>
      <c r="G11" s="237"/>
    </row>
    <row r="12" spans="1:7" x14ac:dyDescent="0.2">
      <c r="A12" s="237"/>
      <c r="B12" s="240" t="s">
        <v>371</v>
      </c>
      <c r="C12" s="249" t="s">
        <v>372</v>
      </c>
      <c r="D12" s="237"/>
      <c r="E12" s="248"/>
      <c r="F12" s="237"/>
      <c r="G12" s="237"/>
    </row>
    <row r="13" spans="1:7" x14ac:dyDescent="0.2">
      <c r="A13" s="237"/>
      <c r="B13" s="240"/>
      <c r="C13" s="240"/>
      <c r="D13" s="237"/>
      <c r="E13" s="237"/>
      <c r="F13" s="237"/>
      <c r="G13" s="237"/>
    </row>
    <row r="14" spans="1:7" x14ac:dyDescent="0.2">
      <c r="A14" s="250"/>
      <c r="B14" s="251" t="s">
        <v>373</v>
      </c>
      <c r="C14" s="252"/>
      <c r="D14" s="250"/>
      <c r="E14" s="250"/>
      <c r="F14" s="250"/>
      <c r="G14" s="250"/>
    </row>
    <row r="15" spans="1:7" x14ac:dyDescent="0.2">
      <c r="A15" s="240"/>
      <c r="B15" s="253" t="s">
        <v>374</v>
      </c>
      <c r="C15" s="240"/>
      <c r="D15" s="240"/>
      <c r="E15" s="240"/>
      <c r="F15" s="240"/>
      <c r="G15" s="240"/>
    </row>
    <row r="16" spans="1:7" x14ac:dyDescent="0.2">
      <c r="A16" s="240"/>
      <c r="B16" s="240" t="s">
        <v>375</v>
      </c>
      <c r="C16" s="240"/>
      <c r="D16" s="254">
        <f>E3</f>
        <v>0</v>
      </c>
      <c r="E16" s="240" t="s">
        <v>376</v>
      </c>
      <c r="F16" s="240"/>
      <c r="G16" s="249">
        <f>E9</f>
        <v>295</v>
      </c>
    </row>
    <row r="17" spans="1:7" x14ac:dyDescent="0.2">
      <c r="A17" s="240"/>
      <c r="B17" s="240" t="s">
        <v>377</v>
      </c>
      <c r="C17" s="240"/>
      <c r="D17" s="254">
        <f>E4</f>
        <v>1302.5999999999999</v>
      </c>
      <c r="E17" s="240" t="s">
        <v>378</v>
      </c>
      <c r="F17" s="240"/>
      <c r="G17" s="255">
        <f>E10</f>
        <v>37483</v>
      </c>
    </row>
    <row r="18" spans="1:7" x14ac:dyDescent="0.2">
      <c r="A18" s="240"/>
      <c r="B18" s="240" t="s">
        <v>379</v>
      </c>
      <c r="C18" s="240"/>
      <c r="D18" s="254">
        <f>(D16*G17+D29*G16)/(G17+G16)</f>
        <v>0</v>
      </c>
      <c r="E18" s="240" t="s">
        <v>380</v>
      </c>
      <c r="F18" s="240"/>
      <c r="G18" s="256">
        <f>E8</f>
        <v>4.2000000000000003E-2</v>
      </c>
    </row>
    <row r="19" spans="1:7" x14ac:dyDescent="0.2">
      <c r="A19" s="240"/>
      <c r="B19" s="240" t="s">
        <v>381</v>
      </c>
      <c r="C19" s="240"/>
      <c r="D19" s="254">
        <f>D17</f>
        <v>1302.5999999999999</v>
      </c>
      <c r="E19" s="240" t="s">
        <v>382</v>
      </c>
      <c r="F19" s="240"/>
      <c r="G19" s="257">
        <f>E6^2</f>
        <v>0.132496</v>
      </c>
    </row>
    <row r="20" spans="1:7" x14ac:dyDescent="0.2">
      <c r="A20" s="240"/>
      <c r="B20" s="240" t="s">
        <v>383</v>
      </c>
      <c r="C20" s="240"/>
      <c r="D20" s="254">
        <f>E5</f>
        <v>4.4000000000000004</v>
      </c>
      <c r="E20" s="240" t="s">
        <v>384</v>
      </c>
      <c r="F20" s="240"/>
      <c r="G20" s="256">
        <f>E7</f>
        <v>0</v>
      </c>
    </row>
    <row r="21" spans="1:7" x14ac:dyDescent="0.2">
      <c r="A21" s="240"/>
      <c r="B21" s="240"/>
      <c r="C21" s="240"/>
      <c r="D21" s="253"/>
      <c r="E21" s="240" t="s">
        <v>385</v>
      </c>
      <c r="F21" s="240"/>
      <c r="G21" s="258">
        <f>G18-G20</f>
        <v>4.2000000000000003E-2</v>
      </c>
    </row>
    <row r="22" spans="1:7" x14ac:dyDescent="0.2">
      <c r="A22" s="240"/>
      <c r="B22" s="240"/>
      <c r="C22" s="240"/>
      <c r="D22" s="240"/>
      <c r="E22" s="240"/>
      <c r="F22" s="240"/>
      <c r="G22" s="240"/>
    </row>
    <row r="23" spans="1:7" x14ac:dyDescent="0.2">
      <c r="A23" s="240"/>
      <c r="B23" s="240" t="s">
        <v>386</v>
      </c>
      <c r="C23" s="249" t="e">
        <f>(LN(D18/D19)+(G21+(G19/2))*D20)/(((G19)^(0.5))*(D20^0.5))</f>
        <v>#NUM!</v>
      </c>
      <c r="D23" s="240"/>
      <c r="E23" s="240"/>
      <c r="F23" s="240"/>
      <c r="G23" s="240"/>
    </row>
    <row r="24" spans="1:7" x14ac:dyDescent="0.2">
      <c r="A24" s="240"/>
      <c r="B24" s="240" t="s">
        <v>387</v>
      </c>
      <c r="C24" s="249" t="e">
        <f>NORMSDIST(C23)</f>
        <v>#NUM!</v>
      </c>
      <c r="D24" s="240"/>
      <c r="E24" s="240"/>
      <c r="F24" s="240"/>
      <c r="G24" s="240"/>
    </row>
    <row r="25" spans="1:7" x14ac:dyDescent="0.2">
      <c r="A25" s="240"/>
      <c r="B25" s="240"/>
      <c r="C25" s="240"/>
      <c r="D25" s="240"/>
      <c r="E25" s="240"/>
      <c r="F25" s="240"/>
      <c r="G25" s="240"/>
    </row>
    <row r="26" spans="1:7" x14ac:dyDescent="0.2">
      <c r="A26" s="240"/>
      <c r="B26" s="240" t="s">
        <v>388</v>
      </c>
      <c r="C26" s="249" t="e">
        <f>C23-((G19^0.5)*(D20^(0.5)))</f>
        <v>#NUM!</v>
      </c>
      <c r="D26" s="240"/>
      <c r="E26" s="240"/>
      <c r="F26" s="240"/>
      <c r="G26" s="240"/>
    </row>
    <row r="27" spans="1:7" x14ac:dyDescent="0.2">
      <c r="A27" s="240"/>
      <c r="B27" s="240" t="s">
        <v>389</v>
      </c>
      <c r="C27" s="249" t="e">
        <f>NORMSDIST(C26)</f>
        <v>#NUM!</v>
      </c>
      <c r="D27" s="240"/>
      <c r="E27" s="240"/>
      <c r="F27" s="240"/>
      <c r="G27" s="240"/>
    </row>
    <row r="28" spans="1:7" ht="16" thickBot="1" x14ac:dyDescent="0.25">
      <c r="A28" s="237"/>
      <c r="B28" s="240"/>
      <c r="C28" s="240"/>
      <c r="D28" s="237"/>
      <c r="E28" s="237"/>
      <c r="F28" s="237"/>
      <c r="G28" s="237"/>
    </row>
    <row r="29" spans="1:7" ht="16" thickBot="1" x14ac:dyDescent="0.25">
      <c r="A29" s="240"/>
      <c r="B29" s="240" t="s">
        <v>390</v>
      </c>
      <c r="C29" s="240"/>
      <c r="D29" s="259">
        <f>IF(C12="OFF",((EXP((0-G20)*D20))*D18*C24-D19*(EXP((0-G18)*D20))*C27),0)</f>
        <v>0</v>
      </c>
      <c r="E29" s="240"/>
      <c r="F29" s="240"/>
      <c r="G29" s="240"/>
    </row>
    <row r="30" spans="1:7" ht="16" thickBot="1" x14ac:dyDescent="0.25">
      <c r="A30" s="240"/>
      <c r="B30" s="240" t="s">
        <v>391</v>
      </c>
      <c r="C30" s="240"/>
      <c r="D30" s="240"/>
      <c r="E30" s="260">
        <f>D29*E9</f>
        <v>0</v>
      </c>
      <c r="F30" s="240"/>
      <c r="G30" s="240"/>
    </row>
  </sheetData>
  <dataValidations count="1">
    <dataValidation type="list" allowBlank="1" showInputMessage="1" showErrorMessage="1" sqref="C12" xr:uid="{B2856A74-48AE-4BE5-9BF2-86C158864450}">
      <formula1>"ON,OFF"</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EF6A8-96B5-4203-8C70-15773F9B4DBD}">
  <dimension ref="A1:H17"/>
  <sheetViews>
    <sheetView workbookViewId="0">
      <selection activeCell="B29" sqref="B29"/>
    </sheetView>
  </sheetViews>
  <sheetFormatPr baseColWidth="10" defaultColWidth="8.83203125" defaultRowHeight="15" x14ac:dyDescent="0.2"/>
  <cols>
    <col min="1" max="1" width="3.33203125" customWidth="1"/>
    <col min="2" max="2" width="21" customWidth="1"/>
    <col min="3" max="3" width="17.33203125" customWidth="1"/>
    <col min="4" max="4" width="3.33203125" customWidth="1"/>
    <col min="5" max="6" width="15.5" customWidth="1"/>
    <col min="7" max="7" width="3.33203125" customWidth="1"/>
    <col min="8" max="8" width="17.5" customWidth="1"/>
  </cols>
  <sheetData>
    <row r="1" spans="1:8" x14ac:dyDescent="0.2">
      <c r="A1" s="299"/>
      <c r="B1" s="299"/>
      <c r="C1" s="299"/>
      <c r="D1" s="299"/>
      <c r="E1" s="299"/>
      <c r="F1" s="299"/>
      <c r="G1" s="299"/>
      <c r="H1" s="299"/>
    </row>
    <row r="2" spans="1:8" x14ac:dyDescent="0.2">
      <c r="A2" s="299"/>
      <c r="B2" s="300" t="s">
        <v>392</v>
      </c>
      <c r="C2" s="301" t="s">
        <v>14</v>
      </c>
      <c r="D2" s="299"/>
      <c r="E2" s="299"/>
      <c r="F2" s="299"/>
      <c r="G2" s="299"/>
      <c r="H2" s="299"/>
    </row>
    <row r="3" spans="1:8" x14ac:dyDescent="0.2">
      <c r="A3" s="299"/>
      <c r="B3" s="300"/>
      <c r="C3" s="299"/>
      <c r="D3" s="299"/>
      <c r="E3" s="299"/>
      <c r="F3" s="299"/>
      <c r="G3" s="299"/>
      <c r="H3" s="299"/>
    </row>
    <row r="4" spans="1:8" x14ac:dyDescent="0.2">
      <c r="A4" s="299"/>
      <c r="B4" s="299"/>
      <c r="C4" s="302" t="s">
        <v>393</v>
      </c>
      <c r="D4" s="303"/>
      <c r="E4" s="302" t="s">
        <v>394</v>
      </c>
      <c r="F4" s="302"/>
      <c r="G4" s="300"/>
      <c r="H4" s="302" t="s">
        <v>395</v>
      </c>
    </row>
    <row r="5" spans="1:8" x14ac:dyDescent="0.2">
      <c r="A5" s="299"/>
      <c r="B5" s="299"/>
      <c r="C5" s="304">
        <v>45291</v>
      </c>
      <c r="D5" s="304"/>
      <c r="E5" s="304"/>
      <c r="F5" s="304"/>
      <c r="G5" s="304"/>
      <c r="H5" s="304">
        <v>45291</v>
      </c>
    </row>
    <row r="6" spans="1:8" x14ac:dyDescent="0.2">
      <c r="A6" s="299"/>
      <c r="B6" s="299" t="s">
        <v>83</v>
      </c>
      <c r="C6" s="334">
        <v>9871649</v>
      </c>
      <c r="D6" s="305"/>
      <c r="E6" s="305"/>
      <c r="F6" s="305"/>
      <c r="G6" s="305"/>
      <c r="H6" s="305">
        <f>C6</f>
        <v>9871649</v>
      </c>
    </row>
    <row r="7" spans="1:8" x14ac:dyDescent="0.2">
      <c r="A7" s="299"/>
      <c r="B7" s="299" t="s">
        <v>137</v>
      </c>
      <c r="C7" s="333">
        <v>1557813</v>
      </c>
      <c r="D7" s="305"/>
      <c r="E7" s="305"/>
      <c r="F7" s="305"/>
      <c r="G7" s="305"/>
      <c r="H7" s="305">
        <v>1557813</v>
      </c>
    </row>
    <row r="8" spans="1:8" x14ac:dyDescent="0.2">
      <c r="A8" s="299"/>
      <c r="B8" s="332" t="s">
        <v>86</v>
      </c>
      <c r="C8" s="335">
        <f>319394+C7</f>
        <v>1877207</v>
      </c>
      <c r="D8" s="305"/>
      <c r="E8" s="305"/>
      <c r="F8" s="305"/>
      <c r="G8" s="305"/>
      <c r="H8" s="305">
        <v>1877207</v>
      </c>
    </row>
    <row r="9" spans="1:8" x14ac:dyDescent="0.2">
      <c r="A9" s="299"/>
      <c r="B9" s="299"/>
      <c r="C9" s="305"/>
      <c r="D9" s="305"/>
      <c r="E9" s="305"/>
      <c r="F9" s="305"/>
      <c r="G9" s="305"/>
      <c r="H9" s="305"/>
    </row>
    <row r="10" spans="1:8" x14ac:dyDescent="0.2">
      <c r="A10" s="299"/>
      <c r="B10" s="299"/>
      <c r="C10" s="305"/>
      <c r="D10" s="305"/>
      <c r="E10" s="305"/>
      <c r="F10" s="305"/>
      <c r="G10" s="305"/>
      <c r="H10" s="306" t="s">
        <v>396</v>
      </c>
    </row>
    <row r="11" spans="1:8" x14ac:dyDescent="0.2">
      <c r="A11" s="299"/>
      <c r="B11" s="299"/>
      <c r="C11" s="305"/>
      <c r="D11" s="305"/>
      <c r="E11" s="305"/>
      <c r="F11" s="305"/>
      <c r="G11" s="305"/>
      <c r="H11" s="304">
        <v>45291</v>
      </c>
    </row>
    <row r="12" spans="1:8" x14ac:dyDescent="0.2">
      <c r="A12" s="299"/>
      <c r="B12" s="299" t="s">
        <v>397</v>
      </c>
      <c r="C12" s="305"/>
      <c r="D12" s="305"/>
      <c r="E12" s="305"/>
      <c r="F12" s="305"/>
      <c r="G12" s="305"/>
      <c r="H12" s="305">
        <f>(3803551+248074-560609-115535-734838)</f>
        <v>2640643</v>
      </c>
    </row>
    <row r="13" spans="1:8" x14ac:dyDescent="0.2">
      <c r="A13" s="299"/>
      <c r="B13" s="299" t="s">
        <v>398</v>
      </c>
      <c r="C13" s="305"/>
      <c r="D13" s="305"/>
      <c r="E13" s="305"/>
      <c r="F13" s="305"/>
      <c r="G13" s="305"/>
      <c r="H13" s="305">
        <v>0</v>
      </c>
    </row>
    <row r="14" spans="1:8" x14ac:dyDescent="0.2">
      <c r="A14" s="299"/>
      <c r="B14" s="299" t="s">
        <v>399</v>
      </c>
      <c r="C14" s="305"/>
      <c r="D14" s="305"/>
      <c r="E14" s="305"/>
      <c r="F14" s="305"/>
      <c r="G14" s="305"/>
      <c r="H14" s="305">
        <v>0</v>
      </c>
    </row>
    <row r="15" spans="1:8" x14ac:dyDescent="0.2">
      <c r="A15" s="299"/>
      <c r="B15" s="299"/>
      <c r="C15" s="305"/>
      <c r="D15" s="305"/>
      <c r="E15" s="305"/>
      <c r="F15" s="305"/>
      <c r="G15" s="305"/>
      <c r="H15" s="305"/>
    </row>
    <row r="16" spans="1:8" x14ac:dyDescent="0.2">
      <c r="A16" s="299"/>
      <c r="B16" s="299" t="s">
        <v>400</v>
      </c>
      <c r="C16" s="305"/>
      <c r="D16" s="305"/>
      <c r="E16" s="305"/>
      <c r="F16" s="305"/>
      <c r="G16" s="305"/>
      <c r="H16" s="397">
        <v>560609</v>
      </c>
    </row>
    <row r="17" spans="1:8" x14ac:dyDescent="0.2">
      <c r="A17" s="299"/>
      <c r="B17" s="299" t="s">
        <v>87</v>
      </c>
      <c r="C17" s="305"/>
      <c r="D17" s="305"/>
      <c r="E17" s="305"/>
      <c r="F17" s="305"/>
      <c r="G17" s="305"/>
      <c r="H17" s="397">
        <v>8044362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100D8-3C81-4F2F-93E2-CC615EA167E7}">
  <dimension ref="A1:H17"/>
  <sheetViews>
    <sheetView workbookViewId="0">
      <selection activeCell="B29" sqref="B29"/>
    </sheetView>
  </sheetViews>
  <sheetFormatPr baseColWidth="10" defaultColWidth="8.83203125" defaultRowHeight="15" x14ac:dyDescent="0.2"/>
  <cols>
    <col min="1" max="1" width="3.33203125" customWidth="1"/>
    <col min="2" max="2" width="21" customWidth="1"/>
    <col min="3" max="3" width="17.33203125" customWidth="1"/>
    <col min="4" max="4" width="3.33203125" customWidth="1"/>
    <col min="5" max="6" width="15.5" customWidth="1"/>
    <col min="7" max="7" width="3.33203125" customWidth="1"/>
    <col min="8" max="8" width="17.5" customWidth="1"/>
  </cols>
  <sheetData>
    <row r="1" spans="1:8" x14ac:dyDescent="0.2">
      <c r="A1" s="299"/>
      <c r="B1" s="299"/>
      <c r="C1" s="299"/>
      <c r="D1" s="299"/>
      <c r="E1" s="299"/>
      <c r="F1" s="299"/>
      <c r="G1" s="299"/>
      <c r="H1" s="299"/>
    </row>
    <row r="2" spans="1:8" x14ac:dyDescent="0.2">
      <c r="A2" s="299"/>
      <c r="B2" s="300" t="s">
        <v>392</v>
      </c>
      <c r="C2" s="301" t="s">
        <v>42</v>
      </c>
      <c r="D2" s="299"/>
      <c r="E2" s="299"/>
      <c r="F2" s="299"/>
      <c r="G2" s="299"/>
      <c r="H2" s="299"/>
    </row>
    <row r="3" spans="1:8" x14ac:dyDescent="0.2">
      <c r="A3" s="299"/>
      <c r="B3" s="300"/>
      <c r="C3" s="299"/>
      <c r="D3" s="299"/>
      <c r="E3" s="299"/>
      <c r="F3" s="299"/>
      <c r="G3" s="299"/>
      <c r="H3" s="299"/>
    </row>
    <row r="4" spans="1:8" x14ac:dyDescent="0.2">
      <c r="A4" s="299"/>
      <c r="B4" s="299"/>
      <c r="C4" s="302" t="s">
        <v>393</v>
      </c>
      <c r="D4" s="303"/>
      <c r="E4" s="302" t="s">
        <v>394</v>
      </c>
      <c r="F4" s="302"/>
      <c r="G4" s="300"/>
      <c r="H4" s="302" t="s">
        <v>395</v>
      </c>
    </row>
    <row r="5" spans="1:8" x14ac:dyDescent="0.2">
      <c r="A5" s="299"/>
      <c r="B5" s="299"/>
      <c r="C5" s="304">
        <v>45291</v>
      </c>
      <c r="D5" s="304"/>
      <c r="E5" s="304"/>
      <c r="F5" s="304"/>
      <c r="G5" s="304"/>
      <c r="H5" s="304">
        <v>45291</v>
      </c>
    </row>
    <row r="6" spans="1:8" x14ac:dyDescent="0.2">
      <c r="A6" s="299"/>
      <c r="B6" s="299" t="s">
        <v>83</v>
      </c>
      <c r="C6" s="412">
        <v>728700</v>
      </c>
      <c r="D6" s="305"/>
      <c r="E6" s="305"/>
      <c r="F6" s="305"/>
      <c r="G6" s="305"/>
      <c r="H6" s="305">
        <f>C6</f>
        <v>728700</v>
      </c>
    </row>
    <row r="7" spans="1:8" x14ac:dyDescent="0.2">
      <c r="A7" s="299"/>
      <c r="B7" s="299" t="s">
        <v>137</v>
      </c>
      <c r="C7" s="412">
        <v>472500</v>
      </c>
      <c r="D7" s="305"/>
      <c r="E7" s="305"/>
      <c r="F7" s="305"/>
      <c r="G7" s="305"/>
      <c r="H7" s="305">
        <v>472500</v>
      </c>
    </row>
    <row r="8" spans="1:8" x14ac:dyDescent="0.2">
      <c r="A8" s="299"/>
      <c r="B8" s="299" t="s">
        <v>86</v>
      </c>
      <c r="C8" s="413">
        <f>47433+C7</f>
        <v>519933</v>
      </c>
      <c r="D8" s="305"/>
      <c r="E8" s="305"/>
      <c r="F8" s="305"/>
      <c r="G8" s="305"/>
      <c r="H8" s="305">
        <f>C8</f>
        <v>519933</v>
      </c>
    </row>
    <row r="9" spans="1:8" x14ac:dyDescent="0.2">
      <c r="A9" s="299"/>
      <c r="B9" s="299"/>
      <c r="C9" s="305"/>
      <c r="D9" s="305"/>
      <c r="E9" s="305"/>
      <c r="F9" s="305"/>
      <c r="G9" s="305"/>
      <c r="H9" s="305"/>
    </row>
    <row r="10" spans="1:8" x14ac:dyDescent="0.2">
      <c r="A10" s="299"/>
      <c r="B10" s="299"/>
      <c r="C10" s="305"/>
      <c r="D10" s="305"/>
      <c r="E10" s="305"/>
      <c r="F10" s="305"/>
      <c r="G10" s="305"/>
      <c r="H10" s="306" t="s">
        <v>396</v>
      </c>
    </row>
    <row r="11" spans="1:8" x14ac:dyDescent="0.2">
      <c r="A11" s="299"/>
      <c r="B11" s="299"/>
      <c r="C11" s="305"/>
      <c r="D11" s="305"/>
      <c r="E11" s="305"/>
      <c r="F11" s="305"/>
      <c r="G11" s="305"/>
      <c r="H11" s="304">
        <v>45291</v>
      </c>
    </row>
    <row r="12" spans="1:8" x14ac:dyDescent="0.2">
      <c r="A12" s="299"/>
      <c r="B12" s="299" t="s">
        <v>397</v>
      </c>
      <c r="D12" s="305"/>
      <c r="E12" s="305"/>
      <c r="F12" s="305"/>
      <c r="G12" s="305"/>
      <c r="H12" s="399">
        <f>(303615+225+32583-332428)</f>
        <v>3995</v>
      </c>
    </row>
    <row r="13" spans="1:8" x14ac:dyDescent="0.2">
      <c r="A13" s="299"/>
      <c r="B13" s="299" t="s">
        <v>398</v>
      </c>
      <c r="C13" s="305"/>
      <c r="D13" s="305"/>
      <c r="E13" s="305"/>
      <c r="F13" s="305"/>
      <c r="G13" s="305"/>
      <c r="H13" s="399">
        <v>0</v>
      </c>
    </row>
    <row r="14" spans="1:8" x14ac:dyDescent="0.2">
      <c r="A14" s="299"/>
      <c r="B14" s="299" t="s">
        <v>399</v>
      </c>
      <c r="C14" s="305"/>
      <c r="D14" s="305"/>
      <c r="E14" s="305"/>
      <c r="F14" s="305"/>
      <c r="G14" s="305"/>
      <c r="H14" s="399">
        <v>0</v>
      </c>
    </row>
    <row r="15" spans="1:8" x14ac:dyDescent="0.2">
      <c r="A15" s="299"/>
      <c r="B15" s="299"/>
      <c r="C15" s="305"/>
      <c r="D15" s="305"/>
      <c r="E15" s="305"/>
      <c r="F15" s="305"/>
      <c r="G15" s="305"/>
      <c r="H15" s="399"/>
    </row>
    <row r="16" spans="1:8" x14ac:dyDescent="0.2">
      <c r="A16" s="299"/>
      <c r="B16" s="299" t="s">
        <v>400</v>
      </c>
      <c r="C16" s="305"/>
      <c r="D16" s="305"/>
      <c r="E16" s="305"/>
      <c r="F16" s="305"/>
      <c r="G16" s="305"/>
      <c r="H16" s="401">
        <v>332428</v>
      </c>
    </row>
    <row r="17" spans="1:8" x14ac:dyDescent="0.2">
      <c r="A17" s="299"/>
      <c r="B17" s="299" t="s">
        <v>87</v>
      </c>
      <c r="C17" s="305"/>
      <c r="D17" s="305"/>
      <c r="E17" s="305"/>
      <c r="F17" s="305"/>
      <c r="G17" s="305"/>
      <c r="H17" s="401">
        <v>983757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AF947-8DE9-4429-BB02-77C8FE95551C}">
  <dimension ref="A1:K17"/>
  <sheetViews>
    <sheetView workbookViewId="0">
      <selection activeCell="B29" sqref="B29"/>
    </sheetView>
  </sheetViews>
  <sheetFormatPr baseColWidth="10" defaultColWidth="8.83203125" defaultRowHeight="15" x14ac:dyDescent="0.2"/>
  <cols>
    <col min="1" max="1" width="3.33203125" customWidth="1"/>
    <col min="2" max="2" width="21" customWidth="1"/>
    <col min="3" max="3" width="17.33203125" customWidth="1"/>
    <col min="4" max="4" width="3.33203125" customWidth="1"/>
    <col min="5" max="6" width="15.5" customWidth="1"/>
    <col min="7" max="7" width="3.33203125" customWidth="1"/>
    <col min="8" max="8" width="17.5" customWidth="1"/>
  </cols>
  <sheetData>
    <row r="1" spans="1:11" x14ac:dyDescent="0.2">
      <c r="A1" s="299"/>
      <c r="B1" s="299"/>
      <c r="C1" s="299"/>
      <c r="D1" s="299"/>
      <c r="E1" s="299"/>
      <c r="F1" s="299"/>
      <c r="G1" s="299"/>
      <c r="H1" s="299"/>
    </row>
    <row r="2" spans="1:11" x14ac:dyDescent="0.2">
      <c r="A2" s="299"/>
      <c r="B2" s="300" t="s">
        <v>392</v>
      </c>
      <c r="C2" s="301" t="s">
        <v>44</v>
      </c>
      <c r="D2" s="299"/>
      <c r="E2" s="299"/>
      <c r="F2" s="299"/>
      <c r="G2" s="299"/>
      <c r="H2" s="299"/>
    </row>
    <row r="3" spans="1:11" x14ac:dyDescent="0.2">
      <c r="A3" s="299"/>
      <c r="B3" s="300"/>
      <c r="C3" s="299"/>
      <c r="D3" s="299"/>
      <c r="E3" s="299"/>
      <c r="F3" s="299"/>
      <c r="G3" s="299"/>
      <c r="H3" s="299"/>
    </row>
    <row r="4" spans="1:11" x14ac:dyDescent="0.2">
      <c r="A4" s="299"/>
      <c r="B4" s="299"/>
      <c r="C4" s="302" t="s">
        <v>393</v>
      </c>
      <c r="D4" s="303"/>
      <c r="E4" s="302" t="s">
        <v>394</v>
      </c>
      <c r="F4" s="302"/>
      <c r="G4" s="300"/>
      <c r="H4" s="302" t="s">
        <v>395</v>
      </c>
    </row>
    <row r="5" spans="1:11" x14ac:dyDescent="0.2">
      <c r="A5" s="299"/>
      <c r="B5" s="299"/>
      <c r="C5" s="304">
        <v>45291</v>
      </c>
      <c r="D5" s="304"/>
      <c r="E5" s="304"/>
      <c r="F5" s="304"/>
      <c r="G5" s="304"/>
      <c r="H5" s="304">
        <v>45291</v>
      </c>
    </row>
    <row r="6" spans="1:11" x14ac:dyDescent="0.2">
      <c r="A6" s="299"/>
      <c r="B6" s="299" t="s">
        <v>83</v>
      </c>
      <c r="C6" s="410">
        <v>1087533</v>
      </c>
      <c r="D6" s="331"/>
      <c r="E6" s="331"/>
      <c r="F6" s="331"/>
      <c r="G6" s="331"/>
      <c r="H6" s="410">
        <v>1087533</v>
      </c>
    </row>
    <row r="7" spans="1:11" x14ac:dyDescent="0.2">
      <c r="A7" s="299"/>
      <c r="B7" s="299" t="s">
        <v>137</v>
      </c>
      <c r="C7" s="31">
        <v>5921000</v>
      </c>
      <c r="D7" s="331"/>
      <c r="E7" s="331"/>
      <c r="F7" s="305"/>
      <c r="G7" s="305"/>
      <c r="H7" s="31">
        <v>592100</v>
      </c>
      <c r="K7" s="395"/>
    </row>
    <row r="8" spans="1:11" x14ac:dyDescent="0.2">
      <c r="A8" s="299"/>
      <c r="B8" s="299" t="s">
        <v>86</v>
      </c>
      <c r="C8" s="305">
        <f>C7+91242</f>
        <v>6012242</v>
      </c>
      <c r="D8" s="305"/>
      <c r="E8" s="305"/>
      <c r="F8" s="305"/>
      <c r="G8" s="305"/>
      <c r="H8" s="305">
        <f>H7+91242</f>
        <v>683342</v>
      </c>
      <c r="K8" s="305"/>
    </row>
    <row r="9" spans="1:11" x14ac:dyDescent="0.2">
      <c r="A9" s="299"/>
      <c r="B9" s="299"/>
      <c r="C9" s="305"/>
      <c r="D9" s="305"/>
      <c r="E9" s="305"/>
      <c r="F9" s="305"/>
      <c r="G9" s="305"/>
      <c r="H9" s="305"/>
    </row>
    <row r="10" spans="1:11" x14ac:dyDescent="0.2">
      <c r="A10" s="299"/>
      <c r="B10" s="299"/>
      <c r="C10" s="305"/>
      <c r="D10" s="305"/>
      <c r="E10" s="305"/>
      <c r="F10" s="305"/>
      <c r="G10" s="305"/>
      <c r="H10" s="306" t="s">
        <v>396</v>
      </c>
    </row>
    <row r="11" spans="1:11" x14ac:dyDescent="0.2">
      <c r="A11" s="299"/>
      <c r="B11" s="299"/>
      <c r="C11" s="305"/>
      <c r="D11" s="336"/>
      <c r="E11" s="305"/>
      <c r="F11" s="305"/>
      <c r="G11" s="305"/>
      <c r="H11" s="304">
        <v>45291</v>
      </c>
    </row>
    <row r="12" spans="1:11" x14ac:dyDescent="0.2">
      <c r="A12" s="299"/>
      <c r="B12" s="299" t="s">
        <v>397</v>
      </c>
      <c r="C12" s="305"/>
      <c r="D12" s="305"/>
      <c r="E12" s="305"/>
      <c r="F12" s="305"/>
      <c r="G12" s="305"/>
      <c r="H12" s="399">
        <f>(464533+245636+49004-224653-68561)</f>
        <v>465959</v>
      </c>
    </row>
    <row r="13" spans="1:11" x14ac:dyDescent="0.2">
      <c r="A13" s="299"/>
      <c r="B13" s="299" t="s">
        <v>398</v>
      </c>
      <c r="C13" s="305"/>
      <c r="D13" s="305"/>
      <c r="E13" s="305"/>
      <c r="F13" s="305"/>
      <c r="G13" s="305"/>
      <c r="H13" s="399">
        <v>0</v>
      </c>
    </row>
    <row r="14" spans="1:11" x14ac:dyDescent="0.2">
      <c r="A14" s="299"/>
      <c r="B14" s="299" t="s">
        <v>399</v>
      </c>
      <c r="C14" s="305"/>
      <c r="D14" s="305"/>
      <c r="E14" s="305"/>
      <c r="F14" s="305"/>
      <c r="G14" s="305"/>
      <c r="H14" s="401">
        <v>25953</v>
      </c>
    </row>
    <row r="15" spans="1:11" x14ac:dyDescent="0.2">
      <c r="A15" s="299"/>
      <c r="B15" s="299"/>
      <c r="C15" s="305"/>
      <c r="D15" s="305"/>
      <c r="E15" s="305"/>
      <c r="F15" s="305"/>
      <c r="G15" s="305"/>
      <c r="H15" s="399"/>
    </row>
    <row r="16" spans="1:11" x14ac:dyDescent="0.2">
      <c r="A16" s="299"/>
      <c r="B16" s="299" t="s">
        <v>400</v>
      </c>
      <c r="C16" s="305"/>
      <c r="D16" s="305"/>
      <c r="E16" s="305"/>
      <c r="F16" s="305"/>
      <c r="G16" s="305"/>
      <c r="H16" s="399">
        <v>224653</v>
      </c>
    </row>
    <row r="17" spans="1:8" x14ac:dyDescent="0.2">
      <c r="A17" s="299"/>
      <c r="B17" s="299" t="s">
        <v>87</v>
      </c>
      <c r="C17" s="305"/>
      <c r="D17" s="305"/>
      <c r="E17" s="305"/>
      <c r="F17" s="305"/>
      <c r="G17" s="305"/>
      <c r="H17" s="401">
        <v>1605857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CD730-7344-4F5C-935D-6EFAEC9BD65E}">
  <dimension ref="A1:I17"/>
  <sheetViews>
    <sheetView workbookViewId="0">
      <selection activeCell="B29" sqref="B29"/>
    </sheetView>
  </sheetViews>
  <sheetFormatPr baseColWidth="10" defaultColWidth="8.83203125" defaultRowHeight="15" x14ac:dyDescent="0.2"/>
  <cols>
    <col min="1" max="1" width="3.33203125" customWidth="1"/>
    <col min="2" max="2" width="21" customWidth="1"/>
    <col min="3" max="3" width="17.33203125" customWidth="1"/>
    <col min="4" max="4" width="3.33203125" customWidth="1"/>
    <col min="5" max="6" width="15.5" customWidth="1"/>
    <col min="7" max="7" width="3.33203125" customWidth="1"/>
    <col min="8" max="8" width="17.5" customWidth="1"/>
    <col min="9" max="9" width="2.1640625" bestFit="1" customWidth="1"/>
  </cols>
  <sheetData>
    <row r="1" spans="1:9" x14ac:dyDescent="0.2">
      <c r="A1" s="299"/>
      <c r="B1" s="299"/>
      <c r="C1" s="299"/>
      <c r="D1" s="299"/>
      <c r="E1" s="299"/>
      <c r="F1" s="299"/>
      <c r="G1" s="299"/>
      <c r="H1" s="299"/>
    </row>
    <row r="2" spans="1:9" x14ac:dyDescent="0.2">
      <c r="A2" s="299"/>
      <c r="B2" s="300" t="s">
        <v>392</v>
      </c>
      <c r="C2" s="301" t="s">
        <v>46</v>
      </c>
      <c r="D2" s="299"/>
      <c r="E2" s="299"/>
      <c r="F2" s="299"/>
      <c r="G2" s="299"/>
      <c r="H2" s="299"/>
    </row>
    <row r="3" spans="1:9" x14ac:dyDescent="0.2">
      <c r="A3" s="299"/>
      <c r="B3" s="300"/>
      <c r="C3" s="299"/>
      <c r="D3" s="299"/>
      <c r="E3" s="299"/>
      <c r="F3" s="299"/>
      <c r="G3" s="299"/>
      <c r="H3" s="299"/>
    </row>
    <row r="4" spans="1:9" x14ac:dyDescent="0.2">
      <c r="A4" s="299"/>
      <c r="B4" s="299"/>
      <c r="C4" s="302" t="s">
        <v>393</v>
      </c>
      <c r="D4" s="303"/>
      <c r="E4" s="302" t="s">
        <v>394</v>
      </c>
      <c r="F4" s="302"/>
      <c r="G4" s="300"/>
      <c r="H4" s="302" t="s">
        <v>395</v>
      </c>
    </row>
    <row r="5" spans="1:9" x14ac:dyDescent="0.2">
      <c r="A5" s="299"/>
      <c r="B5" s="299"/>
      <c r="C5" s="304">
        <v>45291</v>
      </c>
      <c r="D5" s="304"/>
      <c r="E5" s="304"/>
      <c r="F5" s="304"/>
      <c r="G5" s="304"/>
      <c r="H5" s="304">
        <v>45291</v>
      </c>
    </row>
    <row r="6" spans="1:9" x14ac:dyDescent="0.2">
      <c r="A6" s="299"/>
      <c r="B6" s="299" t="s">
        <v>83</v>
      </c>
      <c r="C6" s="333" t="s">
        <v>401</v>
      </c>
      <c r="D6" s="305"/>
      <c r="E6" s="305"/>
      <c r="F6" s="305"/>
      <c r="G6" s="305"/>
      <c r="H6" s="305">
        <v>7076000</v>
      </c>
    </row>
    <row r="7" spans="1:9" x14ac:dyDescent="0.2">
      <c r="A7" s="299"/>
      <c r="B7" s="299" t="s">
        <v>137</v>
      </c>
      <c r="C7" s="333" t="s">
        <v>402</v>
      </c>
      <c r="D7" s="305"/>
      <c r="E7" s="305"/>
      <c r="F7" s="305"/>
      <c r="G7" s="305"/>
      <c r="H7" s="305">
        <v>2318000</v>
      </c>
    </row>
    <row r="8" spans="1:9" x14ac:dyDescent="0.2">
      <c r="A8" s="299"/>
      <c r="B8" s="299" t="s">
        <v>86</v>
      </c>
      <c r="C8" s="336">
        <f>153+2318</f>
        <v>2471</v>
      </c>
      <c r="D8" s="305"/>
      <c r="E8" s="305"/>
      <c r="F8" s="305"/>
      <c r="G8" s="305"/>
      <c r="H8" s="305">
        <v>2471000</v>
      </c>
    </row>
    <row r="9" spans="1:9" x14ac:dyDescent="0.2">
      <c r="A9" s="299"/>
      <c r="B9" s="299"/>
      <c r="C9" s="305"/>
      <c r="D9" s="305"/>
      <c r="E9" s="305"/>
      <c r="F9" s="305"/>
      <c r="G9" s="305"/>
      <c r="H9" s="305"/>
    </row>
    <row r="10" spans="1:9" x14ac:dyDescent="0.2">
      <c r="A10" s="299"/>
      <c r="B10" s="299"/>
      <c r="C10" s="305"/>
      <c r="D10" s="305"/>
      <c r="E10" s="305"/>
      <c r="F10" s="305"/>
      <c r="G10" s="305"/>
      <c r="H10" s="306" t="s">
        <v>396</v>
      </c>
    </row>
    <row r="11" spans="1:9" x14ac:dyDescent="0.2">
      <c r="A11" s="299"/>
      <c r="B11" s="299"/>
      <c r="C11" s="305"/>
      <c r="D11" s="336"/>
      <c r="E11" s="305"/>
      <c r="F11" s="305"/>
      <c r="G11" s="305"/>
      <c r="H11" s="304">
        <v>45291</v>
      </c>
    </row>
    <row r="12" spans="1:9" x14ac:dyDescent="0.2">
      <c r="A12" s="299"/>
      <c r="B12" s="299" t="s">
        <v>397</v>
      </c>
      <c r="D12" s="305"/>
      <c r="E12" s="305"/>
      <c r="F12" s="305"/>
      <c r="G12" s="305"/>
      <c r="H12" s="399">
        <f>1000*(11142+1670-512)</f>
        <v>12300000</v>
      </c>
      <c r="I12" s="398"/>
    </row>
    <row r="13" spans="1:9" x14ac:dyDescent="0.2">
      <c r="A13" s="299"/>
      <c r="B13" s="299" t="s">
        <v>398</v>
      </c>
      <c r="C13" s="305"/>
      <c r="D13" s="305"/>
      <c r="E13" s="305"/>
      <c r="F13" s="305"/>
      <c r="G13" s="305"/>
      <c r="H13" s="400">
        <v>0</v>
      </c>
    </row>
    <row r="14" spans="1:9" x14ac:dyDescent="0.2">
      <c r="A14" s="299"/>
      <c r="B14" s="299" t="s">
        <v>399</v>
      </c>
      <c r="C14" s="305"/>
      <c r="D14" s="305"/>
      <c r="E14" s="305"/>
      <c r="F14" s="305"/>
      <c r="G14" s="305"/>
      <c r="H14" s="399">
        <v>0</v>
      </c>
    </row>
    <row r="15" spans="1:9" x14ac:dyDescent="0.2">
      <c r="A15" s="299"/>
      <c r="B15" s="299"/>
      <c r="C15" s="305"/>
      <c r="D15" s="305"/>
      <c r="E15" s="305"/>
      <c r="F15" s="305"/>
      <c r="G15" s="305"/>
      <c r="H15" s="399"/>
    </row>
    <row r="16" spans="1:9" x14ac:dyDescent="0.2">
      <c r="A16" s="299"/>
      <c r="B16" s="299" t="s">
        <v>400</v>
      </c>
      <c r="C16" s="305"/>
      <c r="D16" s="305"/>
      <c r="E16" s="305"/>
      <c r="F16" s="305"/>
      <c r="G16" s="305"/>
      <c r="H16" s="401">
        <v>512000</v>
      </c>
    </row>
    <row r="17" spans="1:8" x14ac:dyDescent="0.2">
      <c r="A17" s="299"/>
      <c r="B17" s="299" t="s">
        <v>87</v>
      </c>
      <c r="C17" s="305"/>
      <c r="D17" s="305"/>
      <c r="E17" s="305"/>
      <c r="F17" s="305"/>
      <c r="G17" s="305"/>
      <c r="H17" s="401">
        <v>6231000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B7115-0356-4127-B8BB-665AB727B9A6}">
  <dimension ref="A1:H17"/>
  <sheetViews>
    <sheetView workbookViewId="0">
      <selection activeCell="B29" sqref="B29"/>
    </sheetView>
  </sheetViews>
  <sheetFormatPr baseColWidth="10" defaultColWidth="8.83203125" defaultRowHeight="15" x14ac:dyDescent="0.2"/>
  <cols>
    <col min="1" max="1" width="3.33203125" customWidth="1"/>
    <col min="2" max="2" width="21" customWidth="1"/>
    <col min="3" max="3" width="17.33203125" customWidth="1"/>
    <col min="4" max="4" width="3.33203125" customWidth="1"/>
    <col min="5" max="6" width="15.5" customWidth="1"/>
    <col min="7" max="7" width="3.33203125" customWidth="1"/>
    <col min="8" max="8" width="17.5" customWidth="1"/>
  </cols>
  <sheetData>
    <row r="1" spans="1:8" x14ac:dyDescent="0.2">
      <c r="A1" s="299"/>
      <c r="B1" s="299"/>
      <c r="C1" s="299"/>
      <c r="D1" s="299"/>
      <c r="E1" s="299"/>
      <c r="F1" s="299"/>
      <c r="G1" s="299"/>
      <c r="H1" s="299"/>
    </row>
    <row r="2" spans="1:8" x14ac:dyDescent="0.2">
      <c r="A2" s="299"/>
      <c r="B2" s="300" t="s">
        <v>392</v>
      </c>
      <c r="C2" s="301" t="s">
        <v>48</v>
      </c>
      <c r="D2" s="299"/>
      <c r="E2" s="299"/>
      <c r="F2" s="299"/>
      <c r="G2" s="299"/>
      <c r="H2" s="299"/>
    </row>
    <row r="3" spans="1:8" x14ac:dyDescent="0.2">
      <c r="A3" s="299"/>
      <c r="B3" s="300"/>
      <c r="C3" s="299"/>
      <c r="D3" s="299"/>
      <c r="E3" s="299"/>
      <c r="F3" s="299"/>
      <c r="G3" s="299"/>
      <c r="H3" s="299"/>
    </row>
    <row r="4" spans="1:8" x14ac:dyDescent="0.2">
      <c r="A4" s="299"/>
      <c r="B4" s="299"/>
      <c r="C4" s="302" t="s">
        <v>393</v>
      </c>
      <c r="D4" s="303"/>
      <c r="E4" s="302" t="s">
        <v>394</v>
      </c>
      <c r="F4" s="302"/>
      <c r="G4" s="300"/>
      <c r="H4" s="302" t="s">
        <v>395</v>
      </c>
    </row>
    <row r="5" spans="1:8" x14ac:dyDescent="0.2">
      <c r="A5" s="299"/>
      <c r="B5" s="299"/>
      <c r="C5" s="304">
        <v>45291</v>
      </c>
      <c r="D5" s="304"/>
      <c r="E5" s="304"/>
      <c r="F5" s="304"/>
      <c r="G5" s="304"/>
      <c r="H5" s="304">
        <v>45291</v>
      </c>
    </row>
    <row r="6" spans="1:8" x14ac:dyDescent="0.2">
      <c r="A6" s="299"/>
      <c r="B6" s="299" t="s">
        <v>83</v>
      </c>
      <c r="C6" s="333" t="s">
        <v>403</v>
      </c>
      <c r="D6" s="331"/>
      <c r="E6" s="305"/>
      <c r="F6" s="305"/>
      <c r="G6" s="305"/>
      <c r="H6" s="305">
        <v>584041</v>
      </c>
    </row>
    <row r="7" spans="1:8" x14ac:dyDescent="0.2">
      <c r="A7" s="299"/>
      <c r="B7" s="299" t="s">
        <v>137</v>
      </c>
      <c r="C7" s="333">
        <v>-122344</v>
      </c>
      <c r="D7" s="331"/>
      <c r="E7" s="331"/>
      <c r="F7" s="331"/>
      <c r="G7" s="331"/>
      <c r="H7" s="331">
        <v>-122344</v>
      </c>
    </row>
    <row r="8" spans="1:8" x14ac:dyDescent="0.2">
      <c r="A8" s="299"/>
      <c r="B8" s="299" t="s">
        <v>86</v>
      </c>
      <c r="C8" s="335">
        <f>59491-122344</f>
        <v>-62853</v>
      </c>
      <c r="D8" s="305"/>
      <c r="E8" s="305"/>
      <c r="F8" s="305"/>
      <c r="G8" s="305"/>
      <c r="H8" s="305">
        <f>C8</f>
        <v>-62853</v>
      </c>
    </row>
    <row r="9" spans="1:8" x14ac:dyDescent="0.2">
      <c r="A9" s="299"/>
      <c r="B9" s="299"/>
      <c r="C9" s="305"/>
      <c r="D9" s="305"/>
      <c r="E9" s="305"/>
      <c r="F9" s="305"/>
      <c r="G9" s="305"/>
      <c r="H9" s="305"/>
    </row>
    <row r="10" spans="1:8" x14ac:dyDescent="0.2">
      <c r="A10" s="299"/>
      <c r="B10" s="299"/>
      <c r="C10" s="305"/>
      <c r="D10" s="305"/>
      <c r="E10" s="305"/>
      <c r="F10" s="305"/>
      <c r="G10" s="305"/>
      <c r="H10" s="306" t="s">
        <v>396</v>
      </c>
    </row>
    <row r="11" spans="1:8" x14ac:dyDescent="0.2">
      <c r="A11" s="299"/>
      <c r="B11" s="299"/>
      <c r="C11" s="305"/>
      <c r="D11" s="336"/>
      <c r="E11" s="305"/>
      <c r="F11" s="305"/>
      <c r="G11" s="305"/>
      <c r="H11" s="304">
        <v>45291</v>
      </c>
    </row>
    <row r="12" spans="1:8" x14ac:dyDescent="0.2">
      <c r="A12" s="299"/>
      <c r="B12" s="299" t="s">
        <v>397</v>
      </c>
      <c r="C12" s="305"/>
      <c r="D12" s="305"/>
      <c r="E12" s="305"/>
      <c r="F12" s="305"/>
      <c r="G12" s="305"/>
      <c r="H12" s="399">
        <f>(271429+31426-257230)</f>
        <v>45625</v>
      </c>
    </row>
    <row r="13" spans="1:8" x14ac:dyDescent="0.2">
      <c r="A13" s="299"/>
      <c r="B13" s="299" t="s">
        <v>398</v>
      </c>
      <c r="C13" s="305"/>
      <c r="D13" s="305"/>
      <c r="E13" s="305"/>
      <c r="F13" s="305"/>
      <c r="G13" s="305"/>
      <c r="H13" s="399">
        <v>0</v>
      </c>
    </row>
    <row r="14" spans="1:8" x14ac:dyDescent="0.2">
      <c r="A14" s="299"/>
      <c r="B14" s="299" t="s">
        <v>399</v>
      </c>
      <c r="C14" s="305"/>
      <c r="D14" s="305"/>
      <c r="E14" s="305"/>
      <c r="F14" s="305"/>
      <c r="G14" s="305"/>
      <c r="H14" s="399">
        <v>0</v>
      </c>
    </row>
    <row r="15" spans="1:8" x14ac:dyDescent="0.2">
      <c r="A15" s="299"/>
      <c r="B15" s="299"/>
      <c r="C15" s="305"/>
      <c r="D15" s="305"/>
      <c r="E15" s="305"/>
      <c r="F15" s="305"/>
      <c r="G15" s="305"/>
      <c r="H15" s="399"/>
    </row>
    <row r="16" spans="1:8" x14ac:dyDescent="0.2">
      <c r="A16" s="299"/>
      <c r="B16" s="299" t="s">
        <v>400</v>
      </c>
      <c r="C16" s="305"/>
      <c r="D16" s="305"/>
      <c r="E16" s="305"/>
      <c r="F16" s="305"/>
      <c r="G16" s="305"/>
      <c r="H16" s="399">
        <f>257230</f>
        <v>257230</v>
      </c>
    </row>
    <row r="17" spans="1:8" x14ac:dyDescent="0.2">
      <c r="A17" s="299"/>
      <c r="B17" s="299" t="s">
        <v>87</v>
      </c>
      <c r="C17" s="305"/>
      <c r="D17" s="305"/>
      <c r="E17" s="305"/>
      <c r="F17" s="305"/>
      <c r="G17" s="305"/>
      <c r="H17" s="399">
        <f>856557</f>
        <v>856557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BC950-CCF4-4A10-9808-E34EDDF16164}">
  <dimension ref="A2:Q39"/>
  <sheetViews>
    <sheetView zoomScale="56" workbookViewId="0">
      <selection activeCell="Q38" sqref="Q38:Q39"/>
    </sheetView>
  </sheetViews>
  <sheetFormatPr baseColWidth="10" defaultColWidth="8.83203125" defaultRowHeight="15" outlineLevelCol="1" x14ac:dyDescent="0.2"/>
  <cols>
    <col min="1" max="1" width="3.1640625" style="261" customWidth="1"/>
    <col min="2" max="2" width="42.1640625" style="261" customWidth="1"/>
    <col min="3" max="3" width="21.5" style="261" bestFit="1" customWidth="1"/>
    <col min="4" max="4" width="13.6640625" style="261" bestFit="1" customWidth="1"/>
    <col min="5" max="5" width="14.6640625" style="261" bestFit="1" customWidth="1"/>
    <col min="6" max="6" width="23.83203125" style="261" bestFit="1" customWidth="1"/>
    <col min="7" max="7" width="20.6640625" style="261" bestFit="1" customWidth="1"/>
    <col min="8" max="9" width="11.5" style="261" customWidth="1"/>
    <col min="10" max="10" width="13.5" style="261" customWidth="1"/>
    <col min="11" max="11" width="9.1640625" style="261" customWidth="1" outlineLevel="1"/>
    <col min="12" max="12" width="13.1640625" style="261" customWidth="1" outlineLevel="1"/>
    <col min="13" max="13" width="16.6640625" style="261" bestFit="1" customWidth="1" outlineLevel="1"/>
    <col min="14" max="14" width="15.6640625" style="261" customWidth="1"/>
    <col min="15" max="15" width="9.33203125" style="261" bestFit="1" customWidth="1"/>
    <col min="16" max="16" width="17.1640625" style="261" customWidth="1"/>
    <col min="17" max="17" width="12.1640625" style="261" customWidth="1"/>
  </cols>
  <sheetData>
    <row r="2" spans="2:17" ht="25" x14ac:dyDescent="0.25">
      <c r="B2" s="262" t="s">
        <v>10</v>
      </c>
      <c r="C2" s="262"/>
      <c r="D2" s="263"/>
      <c r="E2" s="263"/>
      <c r="F2" s="263"/>
      <c r="G2" s="263"/>
      <c r="H2" s="263"/>
      <c r="I2" s="263"/>
      <c r="J2" s="263"/>
      <c r="K2" s="263"/>
      <c r="L2" s="263"/>
    </row>
    <row r="3" spans="2:17" x14ac:dyDescent="0.2">
      <c r="B3" s="264" t="s">
        <v>11</v>
      </c>
      <c r="C3" s="264"/>
      <c r="D3" s="263"/>
      <c r="E3" s="263"/>
      <c r="F3" s="263"/>
      <c r="G3" s="263"/>
      <c r="H3" s="263"/>
      <c r="I3" s="263"/>
      <c r="J3" s="263"/>
      <c r="K3" s="263"/>
      <c r="L3" s="263"/>
    </row>
    <row r="4" spans="2:17" x14ac:dyDescent="0.2">
      <c r="B4" s="265" t="s">
        <v>12</v>
      </c>
      <c r="C4" s="266"/>
      <c r="D4" s="267"/>
      <c r="E4" s="267"/>
      <c r="F4" s="267"/>
      <c r="G4" s="267"/>
      <c r="H4" s="267"/>
      <c r="I4" s="267"/>
      <c r="J4" s="267"/>
      <c r="K4" s="267"/>
      <c r="L4" s="267"/>
    </row>
    <row r="5" spans="2:17" x14ac:dyDescent="0.2">
      <c r="B5" s="268" t="s">
        <v>13</v>
      </c>
      <c r="C5" s="269" t="s">
        <v>14</v>
      </c>
      <c r="D5" s="267"/>
      <c r="E5" s="267"/>
      <c r="F5" s="267"/>
      <c r="G5" s="267"/>
      <c r="H5" s="267"/>
      <c r="I5" s="267"/>
      <c r="J5" s="267"/>
      <c r="K5" s="267"/>
      <c r="L5" s="267"/>
    </row>
    <row r="6" spans="2:17" x14ac:dyDescent="0.2">
      <c r="B6" s="268" t="s">
        <v>15</v>
      </c>
      <c r="C6" s="270"/>
      <c r="D6" s="267"/>
      <c r="E6" s="267"/>
      <c r="F6" s="267"/>
      <c r="G6" s="267"/>
      <c r="H6" s="267"/>
      <c r="I6" s="267"/>
      <c r="J6" s="267"/>
      <c r="K6" s="267"/>
      <c r="L6" s="267"/>
    </row>
    <row r="7" spans="2:17" ht="16" x14ac:dyDescent="0.2">
      <c r="B7" s="271" t="s">
        <v>16</v>
      </c>
      <c r="C7" s="272" t="s">
        <v>17</v>
      </c>
      <c r="D7" s="267"/>
      <c r="E7" s="267"/>
      <c r="F7" s="267"/>
      <c r="G7" s="267"/>
      <c r="H7" s="273" t="s">
        <v>18</v>
      </c>
      <c r="I7" s="273"/>
      <c r="J7" s="273"/>
      <c r="K7" s="267"/>
      <c r="N7" s="274" t="s">
        <v>19</v>
      </c>
      <c r="O7" s="275"/>
      <c r="P7" s="275"/>
      <c r="Q7" s="275"/>
    </row>
    <row r="8" spans="2:17" x14ac:dyDescent="0.2">
      <c r="B8" s="263"/>
      <c r="C8" s="263"/>
      <c r="D8" s="267"/>
      <c r="E8" s="267"/>
      <c r="F8" s="267" t="s">
        <v>20</v>
      </c>
      <c r="G8" s="267" t="s">
        <v>21</v>
      </c>
      <c r="H8" s="267"/>
      <c r="I8" s="267"/>
      <c r="J8" s="267"/>
      <c r="K8" s="267" t="s">
        <v>22</v>
      </c>
      <c r="L8" s="267" t="s">
        <v>23</v>
      </c>
      <c r="M8" s="267" t="s">
        <v>24</v>
      </c>
      <c r="N8" s="267" t="s">
        <v>22</v>
      </c>
      <c r="O8" s="267" t="s">
        <v>22</v>
      </c>
      <c r="P8" s="267" t="s">
        <v>25</v>
      </c>
      <c r="Q8" s="267" t="s">
        <v>26</v>
      </c>
    </row>
    <row r="9" spans="2:17" ht="16" thickBot="1" x14ac:dyDescent="0.25">
      <c r="B9" s="276" t="s">
        <v>27</v>
      </c>
      <c r="C9" s="276" t="s">
        <v>13</v>
      </c>
      <c r="D9" s="277" t="s">
        <v>28</v>
      </c>
      <c r="E9" s="278"/>
      <c r="F9" s="278" t="s">
        <v>29</v>
      </c>
      <c r="G9" s="278" t="s">
        <v>30</v>
      </c>
      <c r="H9" s="278" t="s">
        <v>31</v>
      </c>
      <c r="I9" s="278" t="s">
        <v>32</v>
      </c>
      <c r="J9" s="278" t="s">
        <v>33</v>
      </c>
      <c r="K9" s="278" t="s">
        <v>34</v>
      </c>
      <c r="L9" s="278" t="s">
        <v>35</v>
      </c>
      <c r="M9" s="278" t="s">
        <v>36</v>
      </c>
      <c r="N9" s="278" t="s">
        <v>37</v>
      </c>
      <c r="O9" s="278" t="s">
        <v>38</v>
      </c>
      <c r="P9" s="278" t="s">
        <v>39</v>
      </c>
      <c r="Q9" s="278" t="s">
        <v>40</v>
      </c>
    </row>
    <row r="10" spans="2:17" ht="16" x14ac:dyDescent="0.2">
      <c r="B10" s="313" t="s">
        <v>17</v>
      </c>
      <c r="C10" s="312" t="s">
        <v>14</v>
      </c>
      <c r="D10" s="329">
        <f>Selecting_Comps!N10</f>
        <v>2869.11</v>
      </c>
      <c r="E10" s="280"/>
      <c r="F10" s="281">
        <v>78674000</v>
      </c>
      <c r="G10" s="402">
        <f ca="1">F10+SUM(INDIRECT(C10&amp;"_LTM!H12:H14"))</f>
        <v>81314643</v>
      </c>
      <c r="H10" s="411" cm="1">
        <f t="array" aca="1" ref="H10" ca="1">$G10/INDIRECT(C10&amp;"_LTM!H6")</f>
        <v>8.2371894503137213</v>
      </c>
      <c r="I10" s="411" cm="1">
        <f t="array" aca="1" ref="I10" ca="1">$G10/INDIRECT(C10&amp;"_LTM!H7")</f>
        <v>52.197948662644365</v>
      </c>
      <c r="J10" s="411" cm="1">
        <f t="array" aca="1" ref="J10" ca="1">$G10/INDIRECT(C10&amp;"_LTM!H8")</f>
        <v>43.316822811762371</v>
      </c>
      <c r="K10" s="279">
        <v>44.86</v>
      </c>
      <c r="L10" s="284">
        <v>0.22900000000000001</v>
      </c>
      <c r="M10" s="281">
        <v>3062207</v>
      </c>
      <c r="N10" s="297">
        <v>53.48</v>
      </c>
      <c r="O10" s="297">
        <v>2.5</v>
      </c>
      <c r="P10" s="297">
        <v>25.69</v>
      </c>
      <c r="Q10" s="135">
        <f>CMG_LTM!H16/CMG_LTM!H17</f>
        <v>6.9689678311344025E-2</v>
      </c>
    </row>
    <row r="11" spans="2:17" ht="16" x14ac:dyDescent="0.2">
      <c r="B11" s="310" t="s">
        <v>41</v>
      </c>
      <c r="C11" s="311" t="s">
        <v>42</v>
      </c>
      <c r="D11" s="329">
        <f>Selecting_Comps!N7</f>
        <v>59.67</v>
      </c>
      <c r="E11" s="280"/>
      <c r="F11" s="281">
        <v>6802000</v>
      </c>
      <c r="G11" s="402">
        <f ca="1">F11+SUM(INDIRECT(C11&amp;"_LTM!H12:H14"))</f>
        <v>6805995</v>
      </c>
      <c r="H11" s="411" cm="1">
        <f t="array" aca="1" ref="H11" ca="1">$G11/INDIRECT(C11&amp;"_LTM!H6")</f>
        <v>9.3399135446685886</v>
      </c>
      <c r="I11" s="411" cm="1">
        <f t="array" aca="1" ref="I11" ca="1">$G11/INDIRECT(C11&amp;"_LTM!H7")</f>
        <v>14.404222222222222</v>
      </c>
      <c r="J11" s="411">
        <v>86.31</v>
      </c>
      <c r="K11" s="279">
        <v>0.21</v>
      </c>
      <c r="L11" s="284">
        <v>0.33300000000000002</v>
      </c>
      <c r="M11" s="281">
        <v>570802</v>
      </c>
      <c r="N11" s="297">
        <v>238.1</v>
      </c>
      <c r="O11" s="297">
        <v>4.3540000000000002E-2</v>
      </c>
      <c r="P11" s="297">
        <v>11.92</v>
      </c>
      <c r="Q11" s="135">
        <f>CAVA_LTM!H16/CAVA_LTM!H17</f>
        <v>0.3379167822948147</v>
      </c>
    </row>
    <row r="12" spans="2:17" ht="17" x14ac:dyDescent="0.2">
      <c r="B12" s="298" t="s">
        <v>43</v>
      </c>
      <c r="C12" s="311" t="s">
        <v>44</v>
      </c>
      <c r="D12" s="330">
        <f>Selecting_Comps!N22</f>
        <v>94.4</v>
      </c>
      <c r="E12" s="280"/>
      <c r="F12" s="396">
        <v>3730000</v>
      </c>
      <c r="G12" s="402">
        <f ca="1">F12+SUM(INDIRECT(C12&amp;"_LTM!H12:H14"))</f>
        <v>4221912</v>
      </c>
      <c r="H12" s="411" cm="1">
        <f t="array" aca="1" ref="H12" ca="1">$G12/INDIRECT(C12&amp;"_LTM!H6")</f>
        <v>3.8821001293753845</v>
      </c>
      <c r="I12" s="411" cm="1">
        <f t="array" aca="1" ref="I12" ca="1">$G12/INDIRECT(C12&amp;"_LTM!H7")</f>
        <v>7.1304036480324271</v>
      </c>
      <c r="J12" s="411">
        <v>37.630000000000003</v>
      </c>
      <c r="K12" s="341">
        <v>0.01</v>
      </c>
      <c r="L12" s="342">
        <v>0.44319999999999998</v>
      </c>
      <c r="M12" s="405">
        <v>443417</v>
      </c>
      <c r="N12" s="297">
        <v>133.30000000000001</v>
      </c>
      <c r="O12" s="297">
        <v>2.1</v>
      </c>
      <c r="P12" s="297">
        <v>8.4</v>
      </c>
      <c r="Q12" s="135">
        <f>SHAK_LTM!H16/SHAK_LTM!H17</f>
        <v>0.13989601813860139</v>
      </c>
    </row>
    <row r="13" spans="2:17" ht="16" x14ac:dyDescent="0.2">
      <c r="B13" s="314" t="s">
        <v>45</v>
      </c>
      <c r="C13" s="311" t="s">
        <v>46</v>
      </c>
      <c r="D13" s="330">
        <f>Selecting_Comps!N29</f>
        <v>138.5</v>
      </c>
      <c r="E13" s="280"/>
      <c r="F13" s="281">
        <v>3899000</v>
      </c>
      <c r="G13" s="402">
        <f ca="1">F13+SUM(INDIRECT(C13&amp;"_LTM!H12:H14"))</f>
        <v>16199000</v>
      </c>
      <c r="H13" s="411" cm="1">
        <f t="array" aca="1" ref="H13" ca="1">$G13/INDIRECT(C13&amp;"_LTM!H6")</f>
        <v>2.2892877331825892</v>
      </c>
      <c r="I13" s="411">
        <v>21.669</v>
      </c>
      <c r="J13" s="411">
        <v>20.329999999999998</v>
      </c>
      <c r="K13" s="341">
        <v>1.2</v>
      </c>
      <c r="L13" s="284">
        <v>0.12970000000000001</v>
      </c>
      <c r="M13" s="281">
        <v>-7858000</v>
      </c>
      <c r="N13" s="297">
        <v>23.92</v>
      </c>
      <c r="O13" s="297">
        <v>2.3199999999999998</v>
      </c>
      <c r="P13" s="340">
        <v>1E-3</v>
      </c>
      <c r="Q13" s="135">
        <f>YUM_LTM!H16/YUM_LTM!H17</f>
        <v>8.2169796180388374E-2</v>
      </c>
    </row>
    <row r="14" spans="2:17" ht="16" x14ac:dyDescent="0.2">
      <c r="B14" s="310" t="s">
        <v>47</v>
      </c>
      <c r="C14" s="311" t="s">
        <v>48</v>
      </c>
      <c r="D14" s="330">
        <f>Selecting_Comps!N24</f>
        <v>20.65</v>
      </c>
      <c r="E14" s="280"/>
      <c r="F14" s="281">
        <v>2330000</v>
      </c>
      <c r="G14" s="402">
        <f ca="1">F14+SUM(INDIRECT(C14&amp;"_LTM!H12:H14"))</f>
        <v>2375625</v>
      </c>
      <c r="H14" s="411" cm="1">
        <f t="array" aca="1" ref="H14" ca="1">$G14/INDIRECT(C14&amp;"_LTM!H6")</f>
        <v>4.0675654620137971</v>
      </c>
      <c r="I14" s="411">
        <v>-21.08</v>
      </c>
      <c r="J14" s="411">
        <v>-44.56</v>
      </c>
      <c r="K14" s="341">
        <v>-0.17</v>
      </c>
      <c r="L14" s="284">
        <v>0.27</v>
      </c>
      <c r="M14" s="281">
        <v>482597</v>
      </c>
      <c r="N14" s="297">
        <v>1E-3</v>
      </c>
      <c r="O14" s="297">
        <v>1E-3</v>
      </c>
      <c r="P14" s="297">
        <v>4.83</v>
      </c>
      <c r="Q14" s="135">
        <f>SG_LTM!H16/SG_LTM!H17</f>
        <v>0.30030692645089585</v>
      </c>
    </row>
    <row r="15" spans="2:17" x14ac:dyDescent="0.2">
      <c r="B15" s="286"/>
      <c r="C15" s="263"/>
      <c r="D15" s="287"/>
      <c r="E15" s="280"/>
      <c r="F15" s="281"/>
      <c r="G15" s="282"/>
      <c r="H15" s="283"/>
      <c r="I15" s="283"/>
      <c r="J15" s="283"/>
      <c r="K15" s="287"/>
      <c r="L15" s="284"/>
      <c r="M15" s="281"/>
    </row>
    <row r="16" spans="2:17" x14ac:dyDescent="0.2">
      <c r="B16" s="286"/>
      <c r="C16" s="263"/>
      <c r="D16" s="287"/>
      <c r="E16" s="280"/>
      <c r="F16" s="281"/>
      <c r="G16" s="282"/>
      <c r="H16" s="283"/>
      <c r="I16" s="283"/>
      <c r="J16" s="283"/>
      <c r="K16" s="287"/>
      <c r="L16" s="284"/>
      <c r="M16" s="281"/>
    </row>
    <row r="17" spans="2:17" x14ac:dyDescent="0.2">
      <c r="B17" s="237"/>
      <c r="C17" s="263"/>
      <c r="D17" s="287"/>
      <c r="E17" s="288"/>
      <c r="F17" s="281"/>
      <c r="G17" s="282"/>
      <c r="H17" s="283"/>
      <c r="I17" s="283"/>
      <c r="J17" s="283"/>
      <c r="K17" s="287"/>
      <c r="L17" s="284"/>
      <c r="M17" s="281"/>
    </row>
    <row r="18" spans="2:17" x14ac:dyDescent="0.2">
      <c r="B18" s="237"/>
      <c r="C18" s="263"/>
      <c r="D18" s="287"/>
      <c r="E18" s="288"/>
      <c r="F18" s="281"/>
      <c r="G18" s="282"/>
      <c r="H18" s="283"/>
      <c r="I18" s="283"/>
      <c r="J18" s="283"/>
      <c r="K18" s="289"/>
      <c r="L18" s="283"/>
      <c r="M18" s="281"/>
    </row>
    <row r="19" spans="2:17" x14ac:dyDescent="0.2">
      <c r="B19" s="263"/>
      <c r="C19" s="263"/>
      <c r="D19" s="289"/>
      <c r="E19" s="288"/>
      <c r="F19" s="282"/>
      <c r="G19" s="290" t="s">
        <v>8</v>
      </c>
      <c r="H19" s="291">
        <f ca="1">MAX(H10:H14)</f>
        <v>9.3399135446685886</v>
      </c>
      <c r="I19" s="291">
        <f ca="1">MAX(I10:I14)</f>
        <v>52.197948662644365</v>
      </c>
      <c r="J19" s="291">
        <f ca="1">MAX(J10:J14)</f>
        <v>86.31</v>
      </c>
      <c r="K19" s="291"/>
      <c r="L19" s="291"/>
      <c r="M19" s="291"/>
      <c r="N19" s="291">
        <f>MAX(N10:N14)</f>
        <v>238.1</v>
      </c>
      <c r="O19" s="291">
        <f>MAX(O10:O14)</f>
        <v>2.5</v>
      </c>
      <c r="P19" s="291">
        <f>MAX(P10:P14)</f>
        <v>25.69</v>
      </c>
      <c r="Q19" s="291">
        <f>MAX(Q10:Q14)</f>
        <v>0.3379167822948147</v>
      </c>
    </row>
    <row r="20" spans="2:17" x14ac:dyDescent="0.2">
      <c r="B20" s="263"/>
      <c r="C20" s="263"/>
      <c r="D20" s="289"/>
      <c r="E20" s="288"/>
      <c r="F20" s="282"/>
      <c r="G20" s="290" t="s">
        <v>49</v>
      </c>
      <c r="H20" s="292">
        <f ca="1">AVERAGE(H10:H14)</f>
        <v>5.5632112639108167</v>
      </c>
      <c r="I20" s="292">
        <f ca="1">AVERAGE(I10:I13)</f>
        <v>23.850393633224751</v>
      </c>
      <c r="J20" s="292">
        <f ca="1">AVERAGE(J10:J13)</f>
        <v>46.896705702940594</v>
      </c>
      <c r="K20" s="292"/>
      <c r="L20" s="292"/>
      <c r="M20" s="292"/>
      <c r="N20" s="292">
        <f>GEOMEAN(N10:N14)</f>
        <v>8.3504220007885461</v>
      </c>
      <c r="O20" s="292">
        <f>AVERAGE(O10:O14)</f>
        <v>1.392908</v>
      </c>
      <c r="P20" s="292">
        <f>AVERAGE(P10:P14)</f>
        <v>10.168199999999999</v>
      </c>
      <c r="Q20" s="292">
        <f>AVERAGE(Q10:Q14)</f>
        <v>0.18599584027520885</v>
      </c>
    </row>
    <row r="21" spans="2:17" x14ac:dyDescent="0.2">
      <c r="B21" s="263"/>
      <c r="C21" s="263"/>
      <c r="D21" s="289"/>
      <c r="E21" s="288"/>
      <c r="F21" s="282"/>
      <c r="G21" s="290" t="s">
        <v>50</v>
      </c>
      <c r="H21" s="292">
        <f ca="1">MEDIAN(H10:H14)</f>
        <v>4.0675654620137971</v>
      </c>
      <c r="I21" s="292">
        <f ca="1">MEDIAN(I10:I14)</f>
        <v>14.404222222222222</v>
      </c>
      <c r="J21" s="292">
        <f ca="1">MEDIAN(J10:J14)</f>
        <v>37.630000000000003</v>
      </c>
      <c r="K21" s="292"/>
      <c r="L21" s="292"/>
      <c r="M21" s="292"/>
      <c r="N21" s="292">
        <f>MEDIAN(N10:N14)</f>
        <v>53.48</v>
      </c>
      <c r="O21" s="292">
        <f>MEDIAN(O10:O14)</f>
        <v>2.1</v>
      </c>
      <c r="P21" s="292">
        <f>MEDIAN(P10:P14)</f>
        <v>8.4</v>
      </c>
      <c r="Q21" s="292">
        <f>MEDIAN(Q10:Q14)</f>
        <v>0.13989601813860139</v>
      </c>
    </row>
    <row r="22" spans="2:17" x14ac:dyDescent="0.2">
      <c r="B22" s="263"/>
      <c r="C22" s="263"/>
      <c r="D22" s="289"/>
      <c r="E22" s="288"/>
      <c r="F22" s="282"/>
      <c r="G22" s="290" t="s">
        <v>6</v>
      </c>
      <c r="H22" s="293">
        <f ca="1">MIN(H10:H14)</f>
        <v>2.2892877331825892</v>
      </c>
      <c r="I22" s="293">
        <f ca="1">MIN(I10:I14)</f>
        <v>-21.08</v>
      </c>
      <c r="J22" s="293">
        <f ca="1">MIN(J10:J14)</f>
        <v>-44.56</v>
      </c>
      <c r="K22" s="293"/>
      <c r="L22" s="293"/>
      <c r="M22" s="293"/>
      <c r="N22" s="293">
        <f>MIN(N10:N14)</f>
        <v>1E-3</v>
      </c>
      <c r="O22" s="293">
        <f>MIN(O10:O14)</f>
        <v>1E-3</v>
      </c>
      <c r="P22" s="293">
        <f>MIN(P10:P14)</f>
        <v>1E-3</v>
      </c>
      <c r="Q22" s="293">
        <f>MIN(Q10:Q14)</f>
        <v>6.9689678311344025E-2</v>
      </c>
    </row>
    <row r="23" spans="2:17" x14ac:dyDescent="0.2">
      <c r="B23" s="263"/>
      <c r="C23" s="263"/>
      <c r="D23" s="289"/>
      <c r="E23" s="288"/>
      <c r="F23" s="282"/>
      <c r="G23" s="282"/>
      <c r="H23" s="283"/>
      <c r="I23" s="283"/>
      <c r="J23" s="283"/>
      <c r="K23" s="289"/>
      <c r="L23" s="283"/>
    </row>
    <row r="24" spans="2:17" x14ac:dyDescent="0.2">
      <c r="B24" s="263"/>
      <c r="C24" s="263"/>
      <c r="D24" s="263"/>
      <c r="E24" s="263"/>
      <c r="F24" s="263"/>
      <c r="G24" s="263"/>
      <c r="H24" s="263"/>
      <c r="I24" s="263"/>
      <c r="J24" s="263"/>
      <c r="K24" s="263"/>
      <c r="L24" s="263"/>
    </row>
    <row r="25" spans="2:17" ht="46" x14ac:dyDescent="0.2">
      <c r="B25" s="263"/>
      <c r="C25" s="263"/>
      <c r="D25" s="294" t="s">
        <v>51</v>
      </c>
      <c r="E25" s="294" t="s">
        <v>52</v>
      </c>
      <c r="F25" s="294" t="s">
        <v>53</v>
      </c>
      <c r="G25" s="294" t="s">
        <v>54</v>
      </c>
      <c r="H25" s="294" t="s">
        <v>55</v>
      </c>
      <c r="I25" s="294" t="s">
        <v>56</v>
      </c>
      <c r="J25" s="294" t="s">
        <v>57</v>
      </c>
      <c r="K25" s="294"/>
      <c r="N25" s="294" t="s">
        <v>58</v>
      </c>
      <c r="O25" s="294" t="s">
        <v>59</v>
      </c>
      <c r="P25" s="294" t="s">
        <v>60</v>
      </c>
      <c r="Q25" s="294" t="s">
        <v>61</v>
      </c>
    </row>
    <row r="26" spans="2:17" x14ac:dyDescent="0.2">
      <c r="B26" s="295" t="s">
        <v>17</v>
      </c>
      <c r="C26" s="263"/>
      <c r="D26" s="296">
        <f>F26/E26</f>
        <v>1526.9909642548359</v>
      </c>
      <c r="E26" s="285">
        <v>37705.800000000003</v>
      </c>
      <c r="F26" s="282">
        <f>G26-CMG_LTM!H12</f>
        <v>57576415.899999999</v>
      </c>
      <c r="G26" s="282">
        <f>H26*CMG_LTM!$H$6</f>
        <v>60217058.899999999</v>
      </c>
      <c r="H26" s="297">
        <v>6.1</v>
      </c>
      <c r="I26" s="283"/>
      <c r="J26" s="283"/>
      <c r="K26" s="297"/>
      <c r="L26" s="297"/>
      <c r="M26" s="337"/>
      <c r="N26" s="337"/>
      <c r="O26" s="337"/>
      <c r="P26" s="337"/>
      <c r="Q26" s="337"/>
    </row>
    <row r="27" spans="2:17" x14ac:dyDescent="0.2">
      <c r="B27" s="263"/>
      <c r="C27" s="263"/>
      <c r="D27" s="296">
        <f t="shared" ref="D27:D31" ca="1" si="0">F27/E27</f>
        <v>1064.9178249904003</v>
      </c>
      <c r="E27" s="285">
        <v>37705.800000000003</v>
      </c>
      <c r="F27" s="282">
        <f ca="1">G27-CMG_LTM!H13</f>
        <v>40153578.525523037</v>
      </c>
      <c r="G27" s="282">
        <f ca="1">H27*CMG_LTM!$H$6</f>
        <v>40153578.525523037</v>
      </c>
      <c r="H27" s="297">
        <f ca="1">H21</f>
        <v>4.0675654620137971</v>
      </c>
      <c r="I27" s="283"/>
      <c r="J27" s="283"/>
      <c r="K27" s="297"/>
      <c r="L27" s="297"/>
      <c r="M27" s="337"/>
      <c r="N27" s="337"/>
      <c r="O27" s="337"/>
      <c r="P27" s="337"/>
      <c r="Q27" s="337"/>
    </row>
    <row r="28" spans="2:17" x14ac:dyDescent="0.2">
      <c r="D28" s="296">
        <f t="shared" si="0"/>
        <v>896.53427589389423</v>
      </c>
      <c r="E28" s="285">
        <v>37705.800000000003</v>
      </c>
      <c r="F28" s="282">
        <f>G28-CMG_LTM!H14</f>
        <v>33804542.100000001</v>
      </c>
      <c r="G28" s="282">
        <f>I28*CMG_LTM!$H$7</f>
        <v>33804542.100000001</v>
      </c>
      <c r="H28" s="337"/>
      <c r="I28" s="338">
        <v>21.7</v>
      </c>
      <c r="J28" s="297"/>
      <c r="K28" s="337"/>
      <c r="L28" s="337"/>
      <c r="M28" s="337"/>
      <c r="N28" s="337"/>
      <c r="O28" s="337"/>
      <c r="P28" s="337"/>
      <c r="Q28" s="337"/>
    </row>
    <row r="29" spans="2:17" x14ac:dyDescent="0.2">
      <c r="D29" s="296">
        <f t="shared" si="0"/>
        <v>1722.8331476855019</v>
      </c>
      <c r="E29" s="285">
        <v>37705.800000000003</v>
      </c>
      <c r="F29" s="282">
        <f>G29-CMG_LTM!H15</f>
        <v>64960802.100000001</v>
      </c>
      <c r="G29" s="282">
        <f>I29*CMG_LTM!$H$7</f>
        <v>64960802.100000001</v>
      </c>
      <c r="H29" s="337"/>
      <c r="I29" s="338">
        <v>41.7</v>
      </c>
      <c r="J29" s="297"/>
      <c r="K29" s="337"/>
      <c r="L29" s="337"/>
      <c r="M29" s="337"/>
      <c r="N29" s="337"/>
      <c r="O29" s="337"/>
      <c r="P29" s="337"/>
      <c r="Q29" s="337"/>
    </row>
    <row r="30" spans="2:17" x14ac:dyDescent="0.2">
      <c r="D30" s="296">
        <f t="shared" si="0"/>
        <v>1857.071702496698</v>
      </c>
      <c r="E30" s="285">
        <v>37705.800000000003</v>
      </c>
      <c r="F30" s="282">
        <f>G30-CMG_LTM!H16</f>
        <v>70022374.200000003</v>
      </c>
      <c r="G30" s="282">
        <f>J30*CMG_LTM!$H$8</f>
        <v>70582983.200000003</v>
      </c>
      <c r="H30" s="297"/>
      <c r="I30" s="297"/>
      <c r="J30" s="338">
        <v>37.6</v>
      </c>
      <c r="K30" s="337"/>
      <c r="L30" s="337"/>
      <c r="M30" s="337"/>
      <c r="N30" s="337"/>
      <c r="O30" s="337"/>
      <c r="P30" s="337"/>
      <c r="Q30" s="337"/>
    </row>
    <row r="31" spans="2:17" x14ac:dyDescent="0.2">
      <c r="D31" s="296">
        <f t="shared" si="0"/>
        <v>4083.154371476006</v>
      </c>
      <c r="E31" s="285">
        <v>37705.800000000003</v>
      </c>
      <c r="F31" s="282">
        <f>G31-CMG_LTM!H17</f>
        <v>153958602.09999999</v>
      </c>
      <c r="G31" s="282">
        <f>J31*CMG_LTM!$H$8</f>
        <v>162002964.09999999</v>
      </c>
      <c r="H31" s="297"/>
      <c r="I31" s="297"/>
      <c r="J31" s="338">
        <v>86.3</v>
      </c>
      <c r="K31" s="337"/>
      <c r="L31" s="337"/>
      <c r="M31" s="337"/>
      <c r="N31" s="337"/>
      <c r="O31" s="337"/>
      <c r="P31" s="337"/>
      <c r="Q31" s="337"/>
    </row>
    <row r="32" spans="2:17" x14ac:dyDescent="0.2">
      <c r="D32" s="357">
        <f>N32*$K$10</f>
        <v>376.82400000000001</v>
      </c>
      <c r="E32" s="285">
        <v>37705.800000000003</v>
      </c>
      <c r="F32" s="282"/>
      <c r="G32" s="282"/>
      <c r="H32" s="337"/>
      <c r="I32" s="337"/>
      <c r="J32" s="337"/>
      <c r="K32" s="337"/>
      <c r="L32" s="337"/>
      <c r="M32" s="337"/>
      <c r="N32" s="338">
        <v>8.4</v>
      </c>
      <c r="O32" s="337"/>
      <c r="P32" s="337"/>
      <c r="Q32" s="337"/>
    </row>
    <row r="33" spans="4:17" x14ac:dyDescent="0.2">
      <c r="D33" s="357">
        <f>N33*$K$10</f>
        <v>10681.165999999999</v>
      </c>
      <c r="E33" s="285">
        <v>37705.800000000003</v>
      </c>
      <c r="H33" s="337"/>
      <c r="I33" s="337"/>
      <c r="J33" s="337"/>
      <c r="K33" s="337"/>
      <c r="L33" s="337"/>
      <c r="M33" s="337"/>
      <c r="N33" s="338">
        <v>238.1</v>
      </c>
      <c r="O33" s="337"/>
      <c r="P33" s="337"/>
      <c r="Q33" s="337"/>
    </row>
    <row r="34" spans="4:17" x14ac:dyDescent="0.2">
      <c r="D34" s="357">
        <f>O34*$K$10*$L$10*100</f>
        <v>205.4588</v>
      </c>
      <c r="E34" s="285">
        <v>37705.800000000003</v>
      </c>
      <c r="H34" s="337"/>
      <c r="I34" s="337"/>
      <c r="J34" s="337"/>
      <c r="K34" s="337"/>
      <c r="L34" s="337"/>
      <c r="M34" s="337"/>
      <c r="N34" s="337"/>
      <c r="O34" s="338">
        <v>0.2</v>
      </c>
      <c r="P34" s="337"/>
      <c r="Q34" s="337"/>
    </row>
    <row r="35" spans="4:17" x14ac:dyDescent="0.2">
      <c r="D35" s="357">
        <f>O35*$K$10*$L$10*100</f>
        <v>2568.2350000000001</v>
      </c>
      <c r="E35" s="285">
        <v>37705.800000000003</v>
      </c>
      <c r="H35" s="337"/>
      <c r="I35" s="337"/>
      <c r="J35" s="337"/>
      <c r="K35" s="337"/>
      <c r="L35" s="337"/>
      <c r="M35" s="337"/>
      <c r="N35" s="337"/>
      <c r="O35" s="338">
        <v>2.5</v>
      </c>
      <c r="P35" s="337"/>
      <c r="Q35" s="337"/>
    </row>
    <row r="36" spans="4:17" x14ac:dyDescent="0.2">
      <c r="D36" s="339">
        <f>F36/E36</f>
        <v>1.3806236441078026E-2</v>
      </c>
      <c r="E36" s="285">
        <v>37705.800000000003</v>
      </c>
      <c r="F36" s="261">
        <f>(P36*$M$10)/10000</f>
        <v>520.57518999999991</v>
      </c>
      <c r="H36" s="337"/>
      <c r="I36" s="337"/>
      <c r="J36" s="337"/>
      <c r="K36" s="337"/>
      <c r="L36" s="337"/>
      <c r="M36" s="337"/>
      <c r="N36" s="337"/>
      <c r="O36" s="337"/>
      <c r="P36" s="338">
        <v>1.7</v>
      </c>
      <c r="Q36" s="337"/>
    </row>
    <row r="37" spans="4:17" x14ac:dyDescent="0.2">
      <c r="D37" s="339">
        <f>F37/E37</f>
        <v>0.20871780972688547</v>
      </c>
      <c r="E37" s="285">
        <v>37705.800000000003</v>
      </c>
      <c r="F37" s="261">
        <f>(P37*$M$10)/10000</f>
        <v>7869.8719899999987</v>
      </c>
      <c r="H37" s="337"/>
      <c r="I37" s="337"/>
      <c r="J37" s="337"/>
      <c r="K37" s="337"/>
      <c r="L37" s="337"/>
      <c r="M37" s="337"/>
      <c r="N37" s="337"/>
      <c r="O37" s="337"/>
      <c r="P37" s="338">
        <v>25.7</v>
      </c>
      <c r="Q37" s="337"/>
    </row>
    <row r="38" spans="4:17" x14ac:dyDescent="0.2">
      <c r="E38" s="285"/>
      <c r="H38" s="337"/>
      <c r="I38" s="337"/>
      <c r="J38" s="337"/>
      <c r="K38" s="337"/>
      <c r="L38" s="337"/>
      <c r="M38" s="337"/>
      <c r="N38" s="337"/>
      <c r="O38" s="337"/>
      <c r="P38" s="337"/>
      <c r="Q38" s="338">
        <v>8.1999999999999993</v>
      </c>
    </row>
    <row r="39" spans="4:17" x14ac:dyDescent="0.2">
      <c r="E39" s="285"/>
      <c r="H39" s="337"/>
      <c r="I39" s="337"/>
      <c r="J39" s="337"/>
      <c r="K39" s="337"/>
      <c r="L39" s="337"/>
      <c r="M39" s="337"/>
      <c r="N39" s="337"/>
      <c r="O39" s="337"/>
      <c r="P39" s="337"/>
      <c r="Q39" s="338">
        <v>33.799999999999997</v>
      </c>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C4F10-4FE0-F340-AC44-AADD62D56A6C}">
  <dimension ref="A2:Q39"/>
  <sheetViews>
    <sheetView tabSelected="1" topLeftCell="A5" zoomScale="75" workbookViewId="0">
      <selection activeCell="J12" sqref="J12"/>
    </sheetView>
  </sheetViews>
  <sheetFormatPr baseColWidth="10" defaultColWidth="8.83203125" defaultRowHeight="15" outlineLevelCol="1" x14ac:dyDescent="0.2"/>
  <cols>
    <col min="1" max="1" width="3.1640625" style="261" customWidth="1"/>
    <col min="2" max="2" width="37.33203125" style="261" customWidth="1"/>
    <col min="3" max="3" width="23.1640625" style="261" customWidth="1"/>
    <col min="4" max="4" width="11.5" style="261" bestFit="1" customWidth="1"/>
    <col min="5" max="5" width="14.6640625" style="261" bestFit="1" customWidth="1"/>
    <col min="6" max="6" width="17.5" style="261" bestFit="1" customWidth="1"/>
    <col min="7" max="7" width="15.1640625" style="261" bestFit="1" customWidth="1"/>
    <col min="8" max="9" width="11.5" style="261" customWidth="1"/>
    <col min="10" max="10" width="13.5" style="261" customWidth="1"/>
    <col min="11" max="11" width="9.1640625" style="261" customWidth="1" outlineLevel="1"/>
    <col min="12" max="12" width="13.1640625" style="261" customWidth="1" outlineLevel="1"/>
    <col min="13" max="13" width="12.5" style="261" customWidth="1" outlineLevel="1"/>
    <col min="14" max="14" width="15.6640625" style="261" customWidth="1"/>
    <col min="15" max="15" width="8.83203125" style="261"/>
    <col min="16" max="16" width="17.1640625" style="261" customWidth="1"/>
    <col min="17" max="17" width="12.1640625" style="261" customWidth="1"/>
  </cols>
  <sheetData>
    <row r="2" spans="2:17" ht="25" x14ac:dyDescent="0.25">
      <c r="B2" s="262" t="s">
        <v>10</v>
      </c>
      <c r="C2" s="262"/>
      <c r="D2" s="263"/>
      <c r="E2" s="263"/>
      <c r="F2" s="263"/>
      <c r="G2" s="263"/>
      <c r="H2" s="263"/>
      <c r="I2" s="263"/>
      <c r="J2" s="263"/>
      <c r="K2" s="263"/>
      <c r="L2" s="263"/>
    </row>
    <row r="3" spans="2:17" x14ac:dyDescent="0.2">
      <c r="B3" s="264" t="s">
        <v>11</v>
      </c>
      <c r="C3" s="264"/>
      <c r="D3" s="263"/>
      <c r="E3" s="263"/>
      <c r="F3" s="263"/>
      <c r="G3" s="263"/>
      <c r="H3" s="263"/>
      <c r="I3" s="263"/>
      <c r="J3" s="263"/>
      <c r="K3" s="263"/>
      <c r="L3" s="263"/>
    </row>
    <row r="4" spans="2:17" x14ac:dyDescent="0.2">
      <c r="B4" s="265" t="s">
        <v>12</v>
      </c>
      <c r="C4" s="266"/>
      <c r="D4" s="267"/>
      <c r="E4" s="267"/>
      <c r="F4" s="267"/>
      <c r="G4" s="267"/>
      <c r="H4" s="267"/>
      <c r="I4" s="267"/>
      <c r="J4" s="267"/>
      <c r="K4" s="267"/>
      <c r="L4" s="267"/>
    </row>
    <row r="5" spans="2:17" x14ac:dyDescent="0.2">
      <c r="B5" s="268" t="s">
        <v>13</v>
      </c>
      <c r="C5" s="269" t="s">
        <v>14</v>
      </c>
      <c r="D5" s="267"/>
      <c r="E5" s="267"/>
      <c r="F5" s="267"/>
      <c r="G5" s="267"/>
      <c r="H5" s="267"/>
      <c r="I5" s="267"/>
      <c r="J5" s="267"/>
      <c r="K5" s="267"/>
      <c r="L5" s="267"/>
    </row>
    <row r="6" spans="2:17" x14ac:dyDescent="0.2">
      <c r="B6" s="268" t="s">
        <v>15</v>
      </c>
      <c r="C6" s="270"/>
      <c r="D6" s="267"/>
      <c r="E6" s="267"/>
      <c r="F6" s="267"/>
      <c r="G6" s="267"/>
      <c r="H6" s="267"/>
      <c r="I6" s="267"/>
      <c r="J6" s="267"/>
      <c r="K6" s="267"/>
      <c r="L6" s="267"/>
    </row>
    <row r="7" spans="2:17" ht="16" x14ac:dyDescent="0.2">
      <c r="B7" s="271" t="s">
        <v>16</v>
      </c>
      <c r="C7" s="272" t="s">
        <v>17</v>
      </c>
      <c r="D7" s="267"/>
      <c r="E7" s="267"/>
      <c r="F7" s="267"/>
      <c r="G7" s="267"/>
      <c r="H7" s="273" t="s">
        <v>18</v>
      </c>
      <c r="I7" s="273"/>
      <c r="J7" s="273"/>
      <c r="K7" s="267"/>
      <c r="N7" s="274" t="s">
        <v>19</v>
      </c>
      <c r="O7" s="275"/>
      <c r="P7" s="275"/>
      <c r="Q7" s="275"/>
    </row>
    <row r="8" spans="2:17" x14ac:dyDescent="0.2">
      <c r="B8" s="263"/>
      <c r="C8" s="263"/>
      <c r="D8" s="267"/>
      <c r="E8" s="267"/>
      <c r="F8" s="267" t="s">
        <v>20</v>
      </c>
      <c r="G8" s="267" t="s">
        <v>21</v>
      </c>
      <c r="H8" s="267"/>
      <c r="I8" s="267"/>
      <c r="J8" s="267"/>
      <c r="K8" s="267" t="s">
        <v>22</v>
      </c>
      <c r="L8" s="267" t="s">
        <v>23</v>
      </c>
      <c r="M8" s="267" t="s">
        <v>24</v>
      </c>
      <c r="N8" s="267" t="s">
        <v>22</v>
      </c>
      <c r="O8" s="267" t="s">
        <v>22</v>
      </c>
      <c r="P8" s="267" t="s">
        <v>25</v>
      </c>
      <c r="Q8" s="267" t="s">
        <v>26</v>
      </c>
    </row>
    <row r="9" spans="2:17" ht="16" thickBot="1" x14ac:dyDescent="0.25">
      <c r="B9" s="276" t="s">
        <v>27</v>
      </c>
      <c r="C9" s="276" t="s">
        <v>13</v>
      </c>
      <c r="D9" s="277" t="s">
        <v>28</v>
      </c>
      <c r="E9" s="278"/>
      <c r="F9" s="278" t="s">
        <v>29</v>
      </c>
      <c r="G9" s="278" t="s">
        <v>30</v>
      </c>
      <c r="H9" s="278" t="s">
        <v>31</v>
      </c>
      <c r="I9" s="278" t="s">
        <v>32</v>
      </c>
      <c r="J9" s="278" t="s">
        <v>33</v>
      </c>
      <c r="K9" s="278" t="s">
        <v>34</v>
      </c>
      <c r="L9" s="278" t="s">
        <v>35</v>
      </c>
      <c r="M9" s="278" t="s">
        <v>36</v>
      </c>
      <c r="N9" s="278" t="s">
        <v>37</v>
      </c>
      <c r="O9" s="278" t="s">
        <v>38</v>
      </c>
      <c r="P9" s="278" t="s">
        <v>39</v>
      </c>
      <c r="Q9" s="278" t="s">
        <v>40</v>
      </c>
    </row>
    <row r="10" spans="2:17" ht="16" x14ac:dyDescent="0.2">
      <c r="B10" s="313" t="s">
        <v>17</v>
      </c>
      <c r="C10" s="312" t="s">
        <v>14</v>
      </c>
      <c r="D10" s="329">
        <f>Selecting_Comps!N10</f>
        <v>2869.11</v>
      </c>
      <c r="E10" s="280"/>
      <c r="F10" s="285">
        <v>78674000</v>
      </c>
      <c r="G10" s="282">
        <f ca="1">F10+SUM(INDIRECT(C10&amp;"_LTM!H12:H14"))</f>
        <v>81314643</v>
      </c>
      <c r="H10" s="283" cm="1">
        <f t="array" aca="1" ref="H10" ca="1">$G10/INDIRECT($C10&amp;"_LTM!H6")</f>
        <v>8.2371894503137213</v>
      </c>
      <c r="I10" s="403" cm="1">
        <f t="array" aca="1" ref="I10" ca="1">$G10/INDIRECT($C10&amp;"_LTM!H7")</f>
        <v>52.197948662644365</v>
      </c>
      <c r="J10" s="403" cm="1">
        <f t="array" aca="1" ref="J10" ca="1">$G10/INDIRECT($C10&amp;"_LTM!H8")</f>
        <v>43.316822811762371</v>
      </c>
      <c r="K10" s="279">
        <v>44.86</v>
      </c>
      <c r="L10" s="284">
        <v>0.22900000000000001</v>
      </c>
      <c r="M10" s="285">
        <v>3062207</v>
      </c>
      <c r="N10" s="283">
        <f>D10/K10</f>
        <v>63.956977262594741</v>
      </c>
      <c r="O10" s="283">
        <f>D10/(K10*L10*100)</f>
        <v>2.792881103170076</v>
      </c>
      <c r="P10" s="283">
        <f>F10/M10</f>
        <v>25.691927423586975</v>
      </c>
      <c r="Q10" s="406">
        <f>CMG_LTM!H16/CMG_LTM!H17</f>
        <v>6.9689678311344025E-2</v>
      </c>
    </row>
    <row r="11" spans="2:17" ht="16" x14ac:dyDescent="0.2">
      <c r="B11" s="310" t="s">
        <v>41</v>
      </c>
      <c r="C11" s="311" t="s">
        <v>42</v>
      </c>
      <c r="D11" s="329">
        <f>Selecting_Comps!N7</f>
        <v>59.67</v>
      </c>
      <c r="E11" s="280"/>
      <c r="F11" s="285">
        <v>6802000</v>
      </c>
      <c r="G11" s="282">
        <f t="shared" ref="G11:G14" ca="1" si="0">F11+SUM(INDIRECT(C11&amp;"_LTM!H12:H14"))</f>
        <v>6805995</v>
      </c>
      <c r="H11" s="283" cm="1">
        <f t="array" aca="1" ref="H11" ca="1">$G11/INDIRECT($C11&amp;"_LTM!H6")</f>
        <v>9.3399135446685886</v>
      </c>
      <c r="I11" s="403" cm="1">
        <f t="array" aca="1" ref="I11" ca="1">$G11/INDIRECT($C11&amp;"_LTM!H7")</f>
        <v>14.404222222222222</v>
      </c>
      <c r="J11" s="403" cm="1">
        <f t="array" aca="1" ref="J11" ca="1">$G11/INDIRECT($C11&amp;"_LTM!H8")</f>
        <v>13.090138537080739</v>
      </c>
      <c r="K11" s="279">
        <v>0.21</v>
      </c>
      <c r="L11" s="284">
        <v>0.33300000000000002</v>
      </c>
      <c r="M11" s="285">
        <v>570802</v>
      </c>
      <c r="N11" s="283">
        <f>D11/K11</f>
        <v>284.14285714285717</v>
      </c>
      <c r="O11" s="283">
        <f>D11/(K11*L11*100)</f>
        <v>8.5328185328185331</v>
      </c>
      <c r="P11" s="283">
        <f t="shared" ref="P11:P14" si="1">F11/M11</f>
        <v>11.916566515183899</v>
      </c>
      <c r="Q11" s="406">
        <f>CAVA_LTM!H16/CAVA_LTM!H17</f>
        <v>0.3379167822948147</v>
      </c>
    </row>
    <row r="12" spans="2:17" ht="17" x14ac:dyDescent="0.2">
      <c r="B12" s="298" t="s">
        <v>43</v>
      </c>
      <c r="C12" s="311" t="s">
        <v>44</v>
      </c>
      <c r="D12" s="330">
        <f>Selecting_Comps!N22</f>
        <v>94.4</v>
      </c>
      <c r="E12" s="280"/>
      <c r="F12" s="408">
        <v>3730000</v>
      </c>
      <c r="G12" s="282">
        <f t="shared" ca="1" si="0"/>
        <v>4221912</v>
      </c>
      <c r="H12" s="283" cm="1">
        <f t="array" aca="1" ref="H12" ca="1">$G12/INDIRECT($C12&amp;"_LTM!H6")</f>
        <v>3.8821001293753845</v>
      </c>
      <c r="I12" s="403" cm="1">
        <f t="array" aca="1" ref="I12" ca="1">$G12/INDIRECT($C12&amp;"_LTM!H7")</f>
        <v>7.1304036480324271</v>
      </c>
      <c r="J12" s="403" cm="1">
        <f t="array" aca="1" ref="J12" ca="1">$G12/INDIRECT($C12&amp;"_LTM!H8")</f>
        <v>6.1783294455777638</v>
      </c>
      <c r="K12" s="341">
        <v>0.01</v>
      </c>
      <c r="L12" s="342">
        <v>0.44319999999999998</v>
      </c>
      <c r="M12" s="285">
        <v>443417</v>
      </c>
      <c r="N12" s="283">
        <f>D12/K12</f>
        <v>9440</v>
      </c>
      <c r="O12" s="283">
        <f>D12/(K12*L12*100)</f>
        <v>212.99638989169674</v>
      </c>
      <c r="P12" s="283">
        <f t="shared" si="1"/>
        <v>8.4119463168980886</v>
      </c>
      <c r="Q12" s="406">
        <f>SHAK_LTM!H16/SHAK_LTM!H17</f>
        <v>0.13989601813860139</v>
      </c>
    </row>
    <row r="13" spans="2:17" ht="16" x14ac:dyDescent="0.2">
      <c r="B13" s="314" t="s">
        <v>45</v>
      </c>
      <c r="C13" s="311" t="s">
        <v>46</v>
      </c>
      <c r="D13" s="330">
        <f>Selecting_Comps!N29</f>
        <v>138.5</v>
      </c>
      <c r="E13" s="280"/>
      <c r="F13" s="285">
        <v>3899000</v>
      </c>
      <c r="G13" s="282">
        <f t="shared" ca="1" si="0"/>
        <v>16199000</v>
      </c>
      <c r="H13" s="283" cm="1">
        <f t="array" aca="1" ref="H13" ca="1">$G13/INDIRECT($C13&amp;"_LTM!H6")</f>
        <v>2.2892877331825892</v>
      </c>
      <c r="I13" s="403" cm="1">
        <f t="array" aca="1" ref="I13" ca="1">$G13/INDIRECT($C13&amp;"_LTM!H7")</f>
        <v>6.9883520276100084</v>
      </c>
      <c r="J13" s="403" cm="1">
        <f t="array" aca="1" ref="J13" ca="1">$G13/INDIRECT($C13&amp;"_LTM!H8")</f>
        <v>6.5556454876568191</v>
      </c>
      <c r="K13" s="341">
        <v>1.2</v>
      </c>
      <c r="L13" s="284">
        <v>0.12970000000000001</v>
      </c>
      <c r="M13" s="285">
        <v>-7858000</v>
      </c>
      <c r="N13" s="283">
        <f>D13/K13</f>
        <v>115.41666666666667</v>
      </c>
      <c r="O13" s="283">
        <f>D13/(K13*L13*100)</f>
        <v>8.8987406836288869</v>
      </c>
      <c r="P13" s="283">
        <f t="shared" si="1"/>
        <v>-0.49618223466530925</v>
      </c>
      <c r="Q13" s="406">
        <f>YUM_LTM!H16/YUM_LTM!H17</f>
        <v>8.2169796180388374E-2</v>
      </c>
    </row>
    <row r="14" spans="2:17" ht="16" x14ac:dyDescent="0.2">
      <c r="B14" s="310" t="s">
        <v>47</v>
      </c>
      <c r="C14" s="311" t="s">
        <v>48</v>
      </c>
      <c r="D14" s="330">
        <f>Selecting_Comps!N24</f>
        <v>20.65</v>
      </c>
      <c r="E14" s="280"/>
      <c r="F14" s="285">
        <v>2330000</v>
      </c>
      <c r="G14" s="282">
        <f t="shared" ca="1" si="0"/>
        <v>2375625</v>
      </c>
      <c r="H14" s="283" cm="1">
        <f t="array" aca="1" ref="H14" ca="1">$G14/INDIRECT($C14&amp;"_LTM!H6")</f>
        <v>4.0675654620137971</v>
      </c>
      <c r="I14" s="403" t="s">
        <v>62</v>
      </c>
      <c r="J14" s="403" cm="1">
        <f t="array" aca="1" ref="J14" ca="1">$G14/INDIRECT($C14&amp;"_LTM!H8")</f>
        <v>-37.796525225526231</v>
      </c>
      <c r="K14" s="341">
        <v>-0.17</v>
      </c>
      <c r="L14" s="284">
        <v>0.27</v>
      </c>
      <c r="M14" s="285">
        <v>482597</v>
      </c>
      <c r="N14" s="283">
        <f>D14/K14</f>
        <v>-121.4705882352941</v>
      </c>
      <c r="O14" s="283">
        <f>D14/(K14*L14*100)</f>
        <v>-4.4989106753812624</v>
      </c>
      <c r="P14" s="283">
        <f t="shared" si="1"/>
        <v>4.8280449318997007</v>
      </c>
      <c r="Q14" s="406">
        <f>SG_LTM!H16/SG_LTM!H17</f>
        <v>0.30030692645089585</v>
      </c>
    </row>
    <row r="15" spans="2:17" x14ac:dyDescent="0.2">
      <c r="B15" s="286"/>
      <c r="C15" s="263"/>
      <c r="D15" s="287"/>
      <c r="E15" s="280"/>
      <c r="F15" s="281"/>
      <c r="G15" s="282"/>
      <c r="H15" s="283"/>
      <c r="I15" s="283"/>
      <c r="J15" s="283"/>
      <c r="K15" s="287"/>
      <c r="L15" s="284"/>
      <c r="M15" s="281"/>
      <c r="N15" s="283"/>
    </row>
    <row r="16" spans="2:17" x14ac:dyDescent="0.2">
      <c r="B16" s="286"/>
      <c r="C16" s="263"/>
      <c r="D16" s="287"/>
      <c r="E16" s="280"/>
      <c r="F16" s="281"/>
      <c r="G16" s="282"/>
      <c r="H16" s="283"/>
      <c r="I16" s="283"/>
      <c r="J16" s="283"/>
      <c r="K16" s="287"/>
      <c r="L16" s="284"/>
      <c r="M16" s="281"/>
    </row>
    <row r="17" spans="2:17" x14ac:dyDescent="0.2">
      <c r="B17" s="237"/>
      <c r="C17" s="263"/>
      <c r="D17" s="287"/>
      <c r="E17" s="288"/>
      <c r="F17" s="281"/>
      <c r="G17" s="282"/>
      <c r="H17" s="283"/>
      <c r="I17" s="283"/>
      <c r="J17" s="283"/>
      <c r="K17" s="287"/>
      <c r="L17" s="284"/>
      <c r="M17" s="281"/>
    </row>
    <row r="18" spans="2:17" x14ac:dyDescent="0.2">
      <c r="B18" s="237"/>
      <c r="C18" s="263"/>
      <c r="D18" s="287"/>
      <c r="E18" s="288"/>
      <c r="F18" s="281"/>
      <c r="G18" s="282"/>
      <c r="H18" s="283"/>
      <c r="I18" s="283"/>
      <c r="J18" s="283"/>
      <c r="K18" s="289"/>
      <c r="L18" s="283"/>
      <c r="M18" s="281"/>
    </row>
    <row r="19" spans="2:17" x14ac:dyDescent="0.2">
      <c r="B19" s="263"/>
      <c r="C19" s="263"/>
      <c r="D19" s="289"/>
      <c r="E19" s="288"/>
      <c r="F19" s="282"/>
      <c r="G19" s="290" t="s">
        <v>8</v>
      </c>
      <c r="H19" s="291">
        <f ca="1">_xlfn.MAXIFS(H11:H14,H11:H14,"&gt;0")</f>
        <v>9.3399135446685886</v>
      </c>
      <c r="I19" s="291">
        <f ca="1">_xlfn.MAXIFS(I11:I14,I11:I14,"&gt;0")</f>
        <v>14.404222222222222</v>
      </c>
      <c r="J19" s="291">
        <f ca="1">_xlfn.MAXIFS(J11:J14,J11:J14,"&gt;0")</f>
        <v>13.090138537080739</v>
      </c>
      <c r="K19" s="291"/>
      <c r="L19" s="291"/>
      <c r="M19" s="291"/>
      <c r="N19" s="291">
        <f>_xlfn.MAXIFS(N11:N14,N11:N14,"&gt;0")</f>
        <v>9440</v>
      </c>
      <c r="O19" s="291">
        <f>_xlfn.MAXIFS(O11:O14,O11:O14,"&gt;0")</f>
        <v>212.99638989169674</v>
      </c>
      <c r="P19" s="291">
        <f>_xlfn.MAXIFS(P11:P14,P11:P14,"&gt;0")</f>
        <v>11.916566515183899</v>
      </c>
      <c r="Q19" s="291">
        <f>_xlfn.MAXIFS(Q11:Q14,Q11:Q14,"&gt;0")</f>
        <v>0.3379167822948147</v>
      </c>
    </row>
    <row r="20" spans="2:17" x14ac:dyDescent="0.2">
      <c r="B20" s="263"/>
      <c r="C20" s="263"/>
      <c r="D20" s="289"/>
      <c r="E20" s="288"/>
      <c r="F20" s="282"/>
      <c r="G20" s="290" t="s">
        <v>49</v>
      </c>
      <c r="H20" s="292">
        <f ca="1">AVERAGEIF(H11:H14,"&gt;0")</f>
        <v>4.8947167173100894</v>
      </c>
      <c r="I20" s="292">
        <f ca="1">AVERAGEIF(I11:I14,"&gt;0")</f>
        <v>9.5076592992882194</v>
      </c>
      <c r="J20" s="292">
        <f ca="1">AVERAGEIF(J11:J14,"&gt;0")</f>
        <v>8.6080378234384405</v>
      </c>
      <c r="K20" s="292"/>
      <c r="L20" s="292"/>
      <c r="M20" s="292"/>
      <c r="N20" s="292">
        <f>AVERAGEIF(N11:N14,"&gt;0")</f>
        <v>3279.8531746031745</v>
      </c>
      <c r="O20" s="292">
        <f>AVERAGEIF(O11:O14,"&gt;0")</f>
        <v>76.809316369381392</v>
      </c>
      <c r="P20" s="292">
        <f>AVERAGEIF(P11:P14,"&gt;0")</f>
        <v>8.3855192546605632</v>
      </c>
      <c r="Q20" s="292">
        <f>AVERAGEIF(Q11:Q14,"&gt;0")</f>
        <v>0.21507238076617508</v>
      </c>
    </row>
    <row r="21" spans="2:17" x14ac:dyDescent="0.2">
      <c r="B21" s="263"/>
      <c r="C21" s="263"/>
      <c r="D21" s="289"/>
      <c r="E21" s="288"/>
      <c r="F21" s="282"/>
      <c r="G21" s="290" t="s">
        <v>50</v>
      </c>
      <c r="H21" s="292" cm="1">
        <f t="array" aca="1" ref="H21" ca="1">MEDIAN(IF(H11:H14&gt;0,H11:H14))</f>
        <v>3.9748327956945908</v>
      </c>
      <c r="I21" s="292" cm="1">
        <f t="array" aca="1" ref="I21" ca="1">MEDIAN(IF(I11:I14&gt;0,I11:I14))</f>
        <v>7.1304036480324271</v>
      </c>
      <c r="J21" s="292" cm="1">
        <f t="array" aca="1" ref="J21" ca="1">MEDIAN(IF(J11:J14&gt;0,J11:J14))</f>
        <v>6.5556454876568191</v>
      </c>
      <c r="K21" s="292"/>
      <c r="L21" s="292"/>
      <c r="M21" s="292"/>
      <c r="N21" s="292" cm="1">
        <f t="array" ref="N21">MEDIAN(IF(N11:N14&gt;0,N11:N14))</f>
        <v>284.14285714285717</v>
      </c>
      <c r="O21" s="292" cm="1">
        <f t="array" ref="O21">MEDIAN(IF(O11:O14&gt;0,O11:O14))</f>
        <v>8.8987406836288869</v>
      </c>
      <c r="P21" s="292" cm="1">
        <f t="array" ref="P21">MEDIAN(IF(P11:P14&gt;0,P11:P14))</f>
        <v>8.4119463168980886</v>
      </c>
      <c r="Q21" s="292" cm="1">
        <f t="array" ref="Q21">MEDIAN(IF(Q11:Q14&gt;0,Q11:Q14))</f>
        <v>0.22010147229474863</v>
      </c>
    </row>
    <row r="22" spans="2:17" x14ac:dyDescent="0.2">
      <c r="B22" s="263"/>
      <c r="C22" s="263"/>
      <c r="D22" s="289"/>
      <c r="E22" s="288"/>
      <c r="F22" s="282"/>
      <c r="G22" s="290" t="s">
        <v>6</v>
      </c>
      <c r="H22" s="293">
        <f ca="1">_xlfn.MINIFS(H11:H14,H11:H14,"&gt;0")</f>
        <v>2.2892877331825892</v>
      </c>
      <c r="I22" s="293">
        <f ca="1">_xlfn.MINIFS(I11:I14,I11:I14,"&gt;0")</f>
        <v>6.9883520276100084</v>
      </c>
      <c r="J22" s="293">
        <f ca="1">_xlfn.MINIFS(J11:J14,J11:J14,"&gt;0")</f>
        <v>6.1783294455777638</v>
      </c>
      <c r="K22" s="293"/>
      <c r="L22" s="293"/>
      <c r="M22" s="293"/>
      <c r="N22" s="293">
        <f>_xlfn.MINIFS(N11:N14,N11:N14,"&gt;0")</f>
        <v>115.41666666666667</v>
      </c>
      <c r="O22" s="293">
        <f>_xlfn.MINIFS(O11:O14,O11:O14,"&gt;0")</f>
        <v>8.5328185328185331</v>
      </c>
      <c r="P22" s="293">
        <f>_xlfn.MINIFS(P11:P14,P11:P14,"&gt;0")</f>
        <v>4.8280449318997007</v>
      </c>
      <c r="Q22" s="293">
        <f>_xlfn.MINIFS(Q11:Q14,Q11:Q14,"&gt;0")</f>
        <v>8.2169796180388374E-2</v>
      </c>
    </row>
    <row r="23" spans="2:17" x14ac:dyDescent="0.2">
      <c r="B23" s="263"/>
      <c r="C23" s="263"/>
      <c r="D23" s="289"/>
      <c r="E23" s="288"/>
      <c r="F23" s="282"/>
      <c r="G23" s="282"/>
      <c r="H23" s="283"/>
      <c r="I23" s="283"/>
      <c r="J23" s="283"/>
      <c r="K23" s="289"/>
      <c r="L23" s="283"/>
    </row>
    <row r="24" spans="2:17" x14ac:dyDescent="0.2">
      <c r="B24" s="263"/>
      <c r="C24" s="263"/>
      <c r="D24" s="263"/>
      <c r="E24" s="263"/>
      <c r="F24" s="263"/>
      <c r="G24" s="263"/>
      <c r="H24" s="263"/>
      <c r="I24" s="263"/>
      <c r="J24" s="263"/>
      <c r="K24" s="263"/>
      <c r="L24" s="263"/>
    </row>
    <row r="25" spans="2:17" ht="46" x14ac:dyDescent="0.2">
      <c r="B25" s="263"/>
      <c r="C25" s="263"/>
      <c r="D25" s="294" t="s">
        <v>51</v>
      </c>
      <c r="E25" s="294" t="s">
        <v>52</v>
      </c>
      <c r="F25" s="294" t="s">
        <v>53</v>
      </c>
      <c r="G25" s="294" t="s">
        <v>54</v>
      </c>
      <c r="H25" s="294" t="s">
        <v>55</v>
      </c>
      <c r="I25" s="294" t="s">
        <v>56</v>
      </c>
      <c r="J25" s="294" t="s">
        <v>57</v>
      </c>
      <c r="K25" s="294"/>
      <c r="N25" s="294" t="s">
        <v>58</v>
      </c>
      <c r="O25" s="294" t="s">
        <v>59</v>
      </c>
      <c r="P25" s="294" t="s">
        <v>60</v>
      </c>
      <c r="Q25" s="294" t="s">
        <v>61</v>
      </c>
    </row>
    <row r="26" spans="2:17" x14ac:dyDescent="0.2">
      <c r="B26" s="295" t="s">
        <v>17</v>
      </c>
      <c r="C26" s="263"/>
      <c r="D26" s="296">
        <f t="shared" ref="D26:D37" si="2">F26/E26</f>
        <v>1526.9909642548359</v>
      </c>
      <c r="E26" s="407">
        <v>37705.800000000003</v>
      </c>
      <c r="F26" s="282">
        <f>G26-CMG_LTM!H12</f>
        <v>57576415.899999999</v>
      </c>
      <c r="G26" s="282">
        <f>H26*CMG_LTM!$H$6</f>
        <v>60217058.899999999</v>
      </c>
      <c r="H26" s="297">
        <v>6.1</v>
      </c>
      <c r="I26" s="283"/>
      <c r="J26" s="283"/>
      <c r="K26" s="297"/>
      <c r="L26" s="297"/>
      <c r="M26" s="404"/>
      <c r="N26" s="404"/>
      <c r="O26" s="404"/>
      <c r="P26" s="404"/>
      <c r="Q26" s="404"/>
    </row>
    <row r="27" spans="2:17" x14ac:dyDescent="0.2">
      <c r="B27" s="263"/>
      <c r="C27" s="263"/>
      <c r="D27" s="296">
        <f t="shared" ca="1" si="2"/>
        <v>1040.6397475397871</v>
      </c>
      <c r="E27" s="407">
        <v>37705.800000000003</v>
      </c>
      <c r="F27" s="282">
        <f ca="1">G27-CMG_LTM!H13</f>
        <v>39238154.19278571</v>
      </c>
      <c r="G27" s="282">
        <f ca="1">H27*CMG_LTM!$H$6</f>
        <v>39238154.19278571</v>
      </c>
      <c r="H27" s="297">
        <f ca="1">H21</f>
        <v>3.9748327956945908</v>
      </c>
      <c r="I27" s="283"/>
      <c r="J27" s="283"/>
      <c r="K27" s="297"/>
      <c r="L27" s="297"/>
      <c r="M27" s="404"/>
      <c r="N27" s="404"/>
      <c r="O27" s="404"/>
      <c r="P27" s="404"/>
      <c r="Q27" s="404"/>
    </row>
    <row r="28" spans="2:17" x14ac:dyDescent="0.2">
      <c r="D28" s="296">
        <f t="shared" si="2"/>
        <v>896.53427589389423</v>
      </c>
      <c r="E28" s="407">
        <v>37705.800000000003</v>
      </c>
      <c r="F28" s="282">
        <f>G28-CMG_LTM!H14</f>
        <v>33804542.100000001</v>
      </c>
      <c r="G28" s="282">
        <f>I28*CMG_LTM!$H$7</f>
        <v>33804542.100000001</v>
      </c>
      <c r="H28" s="404"/>
      <c r="I28" s="338">
        <v>21.7</v>
      </c>
      <c r="J28" s="297"/>
      <c r="K28" s="404"/>
      <c r="L28" s="404"/>
      <c r="M28" s="404"/>
      <c r="N28" s="404"/>
      <c r="O28" s="404"/>
      <c r="P28" s="404"/>
      <c r="Q28" s="404"/>
    </row>
    <row r="29" spans="2:17" x14ac:dyDescent="0.2">
      <c r="D29" s="296">
        <f t="shared" si="2"/>
        <v>1722.8331476855019</v>
      </c>
      <c r="E29" s="407">
        <v>37705.800000000003</v>
      </c>
      <c r="F29" s="282">
        <f>G29-CMG_LTM!H15</f>
        <v>64960802.100000001</v>
      </c>
      <c r="G29" s="282">
        <f>I29*CMG_LTM!$H$7</f>
        <v>64960802.100000001</v>
      </c>
      <c r="H29" s="404"/>
      <c r="I29" s="338">
        <v>41.7</v>
      </c>
      <c r="J29" s="297"/>
      <c r="K29" s="404"/>
      <c r="L29" s="404"/>
      <c r="M29" s="404"/>
      <c r="N29" s="404"/>
      <c r="O29" s="404"/>
      <c r="P29" s="404"/>
      <c r="Q29" s="404"/>
    </row>
    <row r="30" spans="2:17" x14ac:dyDescent="0.2">
      <c r="D30" s="296">
        <f t="shared" si="2"/>
        <v>1857.071702496698</v>
      </c>
      <c r="E30" s="407">
        <v>37705.800000000003</v>
      </c>
      <c r="F30" s="282">
        <f>G30-CMG_LTM!H16</f>
        <v>70022374.200000003</v>
      </c>
      <c r="G30" s="282">
        <f>J30*CMG_LTM!$H$8</f>
        <v>70582983.200000003</v>
      </c>
      <c r="H30" s="297"/>
      <c r="I30" s="297"/>
      <c r="J30" s="338">
        <v>37.6</v>
      </c>
      <c r="K30" s="404"/>
      <c r="L30" s="404"/>
      <c r="M30" s="404"/>
      <c r="N30" s="404"/>
      <c r="O30" s="404"/>
      <c r="P30" s="404"/>
      <c r="Q30" s="404"/>
    </row>
    <row r="31" spans="2:17" x14ac:dyDescent="0.2">
      <c r="D31" s="296">
        <f t="shared" si="2"/>
        <v>4083.154371476006</v>
      </c>
      <c r="E31" s="407">
        <v>37705.800000000003</v>
      </c>
      <c r="F31" s="282">
        <f>G31-CMG_LTM!H17</f>
        <v>153958602.09999999</v>
      </c>
      <c r="G31" s="282">
        <f>J31*CMG_LTM!$H$8</f>
        <v>162002964.09999999</v>
      </c>
      <c r="H31" s="297"/>
      <c r="I31" s="297"/>
      <c r="J31" s="338">
        <v>86.3</v>
      </c>
      <c r="K31" s="404"/>
      <c r="L31" s="404"/>
      <c r="M31" s="404"/>
      <c r="N31" s="404"/>
      <c r="O31" s="404"/>
      <c r="P31" s="404"/>
      <c r="Q31" s="404"/>
    </row>
    <row r="32" spans="2:17" x14ac:dyDescent="0.2">
      <c r="D32" s="296">
        <f t="shared" si="2"/>
        <v>0</v>
      </c>
      <c r="E32" s="407">
        <v>37705.800000000003</v>
      </c>
      <c r="F32" s="282"/>
      <c r="G32" s="282"/>
      <c r="H32" s="404"/>
      <c r="I32" s="404"/>
      <c r="J32" s="404"/>
      <c r="K32" s="404"/>
      <c r="L32" s="404"/>
      <c r="M32" s="404"/>
      <c r="N32" s="338">
        <v>8.4</v>
      </c>
      <c r="O32" s="404"/>
      <c r="P32" s="404"/>
      <c r="Q32" s="404"/>
    </row>
    <row r="33" spans="4:17" x14ac:dyDescent="0.2">
      <c r="D33" s="296">
        <f t="shared" si="2"/>
        <v>0</v>
      </c>
      <c r="E33" s="407">
        <v>37705.800000000003</v>
      </c>
      <c r="F33" s="409"/>
      <c r="H33" s="404"/>
      <c r="I33" s="404"/>
      <c r="J33" s="404"/>
      <c r="K33" s="404"/>
      <c r="L33" s="404"/>
      <c r="M33" s="404"/>
      <c r="N33" s="338">
        <v>238.1</v>
      </c>
      <c r="O33" s="404"/>
      <c r="P33" s="404"/>
      <c r="Q33" s="404"/>
    </row>
    <row r="34" spans="4:17" x14ac:dyDescent="0.2">
      <c r="D34" s="296">
        <f t="shared" si="2"/>
        <v>0</v>
      </c>
      <c r="E34" s="407">
        <v>37705.800000000003</v>
      </c>
      <c r="F34" s="409"/>
      <c r="H34" s="404"/>
      <c r="I34" s="404"/>
      <c r="J34" s="404"/>
      <c r="K34" s="404"/>
      <c r="L34" s="404"/>
      <c r="M34" s="404"/>
      <c r="N34" s="404"/>
      <c r="O34" s="338">
        <v>0.2</v>
      </c>
      <c r="P34" s="404"/>
      <c r="Q34" s="404"/>
    </row>
    <row r="35" spans="4:17" x14ac:dyDescent="0.2">
      <c r="D35" s="296">
        <f t="shared" si="2"/>
        <v>0</v>
      </c>
      <c r="E35" s="407">
        <v>37705.800000000003</v>
      </c>
      <c r="F35" s="409"/>
      <c r="H35" s="404"/>
      <c r="I35" s="404"/>
      <c r="J35" s="404"/>
      <c r="K35" s="404"/>
      <c r="L35" s="404"/>
      <c r="M35" s="404"/>
      <c r="N35" s="404"/>
      <c r="O35" s="338">
        <v>2.5</v>
      </c>
      <c r="P35" s="404"/>
      <c r="Q35" s="404"/>
    </row>
    <row r="36" spans="4:17" x14ac:dyDescent="0.2">
      <c r="D36" s="296">
        <f t="shared" si="2"/>
        <v>1.3806236441078026E-2</v>
      </c>
      <c r="E36" s="407">
        <v>37705.800000000003</v>
      </c>
      <c r="F36" s="409">
        <f>(P36*$M$10)/10000</f>
        <v>520.57518999999991</v>
      </c>
      <c r="H36" s="404"/>
      <c r="I36" s="404"/>
      <c r="J36" s="404"/>
      <c r="K36" s="404"/>
      <c r="L36" s="404"/>
      <c r="M36" s="404"/>
      <c r="N36" s="404"/>
      <c r="O36" s="404"/>
      <c r="P36" s="338">
        <v>1.7</v>
      </c>
      <c r="Q36" s="404"/>
    </row>
    <row r="37" spans="4:17" x14ac:dyDescent="0.2">
      <c r="D37" s="296">
        <f t="shared" si="2"/>
        <v>0.20871780972688547</v>
      </c>
      <c r="E37" s="407">
        <v>37705.800000000003</v>
      </c>
      <c r="F37" s="409">
        <f>(P37*$M$10)/10000</f>
        <v>7869.8719899999987</v>
      </c>
      <c r="H37" s="404"/>
      <c r="I37" s="404"/>
      <c r="J37" s="404"/>
      <c r="K37" s="404"/>
      <c r="L37" s="404"/>
      <c r="M37" s="404"/>
      <c r="N37" s="404"/>
      <c r="O37" s="404"/>
      <c r="P37" s="338">
        <v>25.7</v>
      </c>
      <c r="Q37" s="404"/>
    </row>
    <row r="38" spans="4:17" x14ac:dyDescent="0.2">
      <c r="H38" s="404"/>
      <c r="I38" s="404"/>
      <c r="J38" s="404"/>
      <c r="K38" s="404"/>
      <c r="L38" s="404"/>
      <c r="M38" s="404"/>
      <c r="N38" s="404"/>
      <c r="O38" s="404"/>
      <c r="P38" s="404"/>
      <c r="Q38" s="338">
        <v>8.1999999999999993</v>
      </c>
    </row>
    <row r="39" spans="4:17" x14ac:dyDescent="0.2">
      <c r="H39" s="404"/>
      <c r="I39" s="404"/>
      <c r="J39" s="404"/>
      <c r="K39" s="404"/>
      <c r="L39" s="404"/>
      <c r="M39" s="404"/>
      <c r="N39" s="404"/>
      <c r="O39" s="404"/>
      <c r="P39" s="404"/>
      <c r="Q39" s="338">
        <v>33.799999999999997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28871-A99F-4A12-A629-CB26FBEB7354}">
  <dimension ref="B2:D15"/>
  <sheetViews>
    <sheetView zoomScale="85" workbookViewId="0">
      <selection activeCell="B29" sqref="B29"/>
    </sheetView>
  </sheetViews>
  <sheetFormatPr baseColWidth="10" defaultColWidth="8.83203125" defaultRowHeight="15" x14ac:dyDescent="0.2"/>
  <cols>
    <col min="1" max="1" width="3.33203125" customWidth="1"/>
    <col min="2" max="2" width="19.1640625" style="394" bestFit="1" customWidth="1"/>
    <col min="3" max="3" width="39.6640625" customWidth="1"/>
    <col min="4" max="4" width="39.33203125" customWidth="1"/>
  </cols>
  <sheetData>
    <row r="2" spans="2:4" x14ac:dyDescent="0.2">
      <c r="B2" s="388" t="s">
        <v>63</v>
      </c>
      <c r="C2" s="378" t="s">
        <v>64</v>
      </c>
      <c r="D2" s="379"/>
    </row>
    <row r="3" spans="2:4" x14ac:dyDescent="0.2">
      <c r="B3" s="389" t="s">
        <v>65</v>
      </c>
      <c r="C3" s="380" t="s">
        <v>66</v>
      </c>
      <c r="D3" s="5"/>
    </row>
    <row r="4" spans="2:4" x14ac:dyDescent="0.2">
      <c r="B4" s="390"/>
      <c r="C4" s="381"/>
      <c r="D4" s="379"/>
    </row>
    <row r="5" spans="2:4" x14ac:dyDescent="0.2">
      <c r="B5" s="391" t="s">
        <v>67</v>
      </c>
      <c r="C5" s="382" t="s">
        <v>68</v>
      </c>
      <c r="D5" s="383"/>
    </row>
    <row r="6" spans="2:4" ht="48" customHeight="1" x14ac:dyDescent="0.2">
      <c r="B6" s="392" t="s">
        <v>69</v>
      </c>
      <c r="C6" s="384" t="s">
        <v>70</v>
      </c>
      <c r="D6" s="385"/>
    </row>
    <row r="7" spans="2:4" ht="94.25" customHeight="1" x14ac:dyDescent="0.2">
      <c r="B7" s="390" t="s">
        <v>71</v>
      </c>
      <c r="C7" s="308" t="s">
        <v>72</v>
      </c>
      <c r="D7" s="309" t="s">
        <v>73</v>
      </c>
    </row>
    <row r="8" spans="2:4" ht="61" x14ac:dyDescent="0.2">
      <c r="B8" s="390" t="s">
        <v>74</v>
      </c>
      <c r="C8" s="386" t="s">
        <v>75</v>
      </c>
      <c r="D8" s="5"/>
    </row>
    <row r="9" spans="2:4" ht="57" x14ac:dyDescent="0.2">
      <c r="B9" s="390" t="s">
        <v>76</v>
      </c>
      <c r="C9" s="309" t="s">
        <v>77</v>
      </c>
      <c r="D9" s="5"/>
    </row>
    <row r="10" spans="2:4" ht="29" x14ac:dyDescent="0.2">
      <c r="B10" s="390" t="s">
        <v>78</v>
      </c>
      <c r="C10" s="387" t="s">
        <v>79</v>
      </c>
      <c r="D10" s="5"/>
    </row>
    <row r="11" spans="2:4" ht="42" x14ac:dyDescent="0.2">
      <c r="B11" s="393" t="s">
        <v>80</v>
      </c>
      <c r="C11" s="384" t="s">
        <v>81</v>
      </c>
      <c r="D11" s="385"/>
    </row>
    <row r="12" spans="2:4" x14ac:dyDescent="0.2">
      <c r="B12" s="390"/>
      <c r="C12" s="387"/>
      <c r="D12" s="385"/>
    </row>
    <row r="13" spans="2:4" x14ac:dyDescent="0.2">
      <c r="B13" s="390"/>
      <c r="C13" s="387"/>
      <c r="D13" s="5"/>
    </row>
    <row r="14" spans="2:4" x14ac:dyDescent="0.2">
      <c r="B14" s="1"/>
    </row>
    <row r="15" spans="2:4" x14ac:dyDescent="0.2">
      <c r="B15" s="1"/>
      <c r="C15" s="3"/>
      <c r="D15" s="307"/>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7DA1A-476D-47A1-A9D1-356A14ACFA24}">
  <dimension ref="A1:N90"/>
  <sheetViews>
    <sheetView zoomScale="91" workbookViewId="0">
      <selection activeCell="B29" sqref="B29"/>
    </sheetView>
  </sheetViews>
  <sheetFormatPr baseColWidth="10" defaultColWidth="8.83203125" defaultRowHeight="15" x14ac:dyDescent="0.2"/>
  <cols>
    <col min="1" max="1" width="3.83203125" customWidth="1"/>
    <col min="2" max="2" width="29.1640625" bestFit="1" customWidth="1"/>
    <col min="3" max="3" width="41.5" bestFit="1" customWidth="1"/>
    <col min="4" max="4" width="11.83203125" bestFit="1" customWidth="1"/>
    <col min="5" max="5" width="12.1640625" bestFit="1" customWidth="1"/>
    <col min="6" max="6" width="12.1640625" style="320" bestFit="1" customWidth="1"/>
    <col min="7" max="7" width="11.1640625" bestFit="1" customWidth="1"/>
    <col min="8" max="9" width="12.1640625" bestFit="1" customWidth="1"/>
    <col min="10" max="10" width="14.1640625" bestFit="1" customWidth="1"/>
    <col min="11" max="11" width="8.5" bestFit="1" customWidth="1"/>
    <col min="12" max="12" width="19.83203125" bestFit="1" customWidth="1"/>
    <col min="13" max="13" width="10.5" bestFit="1" customWidth="1"/>
    <col min="14" max="14" width="11.1640625" bestFit="1" customWidth="1"/>
    <col min="15" max="15" width="10.5" bestFit="1" customWidth="1"/>
    <col min="16" max="17" width="11.1640625" bestFit="1" customWidth="1"/>
  </cols>
  <sheetData>
    <row r="1" spans="1:14" x14ac:dyDescent="0.2">
      <c r="D1" s="4"/>
      <c r="F1" s="324"/>
    </row>
    <row r="2" spans="1:14" x14ac:dyDescent="0.2">
      <c r="B2" s="229" t="s">
        <v>16</v>
      </c>
      <c r="C2" s="1" t="s">
        <v>67</v>
      </c>
      <c r="D2" s="321" t="s">
        <v>82</v>
      </c>
      <c r="E2" s="229" t="s">
        <v>83</v>
      </c>
      <c r="F2" s="229" t="s">
        <v>84</v>
      </c>
      <c r="G2" s="229" t="s">
        <v>85</v>
      </c>
      <c r="H2" s="229" t="s">
        <v>86</v>
      </c>
      <c r="I2" s="229" t="s">
        <v>87</v>
      </c>
      <c r="J2" s="229" t="s">
        <v>88</v>
      </c>
      <c r="K2" s="229" t="s">
        <v>89</v>
      </c>
      <c r="L2" s="229" t="s">
        <v>90</v>
      </c>
      <c r="M2" s="229" t="s">
        <v>91</v>
      </c>
      <c r="N2" s="229" t="s">
        <v>92</v>
      </c>
    </row>
    <row r="3" spans="1:14" x14ac:dyDescent="0.2">
      <c r="B3" s="322" t="s">
        <v>93</v>
      </c>
      <c r="C3" s="2" t="s">
        <v>80</v>
      </c>
      <c r="D3" s="320" t="s">
        <v>94</v>
      </c>
      <c r="E3" s="231">
        <v>29091024</v>
      </c>
      <c r="F3" s="315">
        <v>33.71</v>
      </c>
      <c r="G3" s="231">
        <v>-2644446</v>
      </c>
      <c r="H3" s="231">
        <v>-1012662</v>
      </c>
      <c r="I3" s="231">
        <v>86081618</v>
      </c>
      <c r="J3" s="231">
        <v>86083929</v>
      </c>
      <c r="K3" s="232" t="s">
        <v>95</v>
      </c>
      <c r="L3" s="315">
        <v>1143000000000000</v>
      </c>
      <c r="M3" s="231">
        <v>141</v>
      </c>
      <c r="N3" s="315">
        <v>0.15</v>
      </c>
    </row>
    <row r="4" spans="1:14" x14ac:dyDescent="0.2">
      <c r="B4" s="322" t="s">
        <v>96</v>
      </c>
      <c r="C4" s="2" t="s">
        <v>80</v>
      </c>
      <c r="D4" s="320" t="s">
        <v>94</v>
      </c>
      <c r="E4" s="231">
        <v>184793000</v>
      </c>
      <c r="F4" s="315">
        <v>73.150000000000006</v>
      </c>
      <c r="G4" s="231">
        <v>-5928000</v>
      </c>
      <c r="H4" s="231">
        <v>4019000</v>
      </c>
      <c r="I4" s="231">
        <v>176956000</v>
      </c>
      <c r="J4" s="231">
        <v>126668000</v>
      </c>
      <c r="K4" s="232" t="s">
        <v>95</v>
      </c>
      <c r="L4" s="231">
        <v>50000000</v>
      </c>
      <c r="M4" s="231">
        <v>339</v>
      </c>
      <c r="N4" s="315">
        <v>14</v>
      </c>
    </row>
    <row r="5" spans="1:14" x14ac:dyDescent="0.2">
      <c r="B5" s="322" t="s">
        <v>97</v>
      </c>
      <c r="C5" s="2" t="s">
        <v>80</v>
      </c>
      <c r="D5" s="320" t="s">
        <v>94</v>
      </c>
      <c r="E5" s="231">
        <v>23535406</v>
      </c>
      <c r="F5" s="315">
        <v>18.37</v>
      </c>
      <c r="G5" s="231">
        <v>298258</v>
      </c>
      <c r="H5" s="231">
        <v>1582312</v>
      </c>
      <c r="I5" s="231">
        <v>6390678</v>
      </c>
      <c r="J5" s="231">
        <v>6335266</v>
      </c>
      <c r="K5" s="231">
        <v>0</v>
      </c>
      <c r="L5" s="315">
        <v>1759000000000000</v>
      </c>
      <c r="M5" s="231">
        <v>425</v>
      </c>
      <c r="N5" s="315">
        <v>0.25</v>
      </c>
    </row>
    <row r="6" spans="1:14" x14ac:dyDescent="0.2">
      <c r="B6" s="322" t="s">
        <v>98</v>
      </c>
      <c r="C6" s="2" t="s">
        <v>80</v>
      </c>
      <c r="D6" s="320" t="s">
        <v>94</v>
      </c>
      <c r="E6" s="231">
        <v>26939000</v>
      </c>
      <c r="F6" s="315">
        <v>49.46</v>
      </c>
      <c r="G6" s="231">
        <v>-9600000</v>
      </c>
      <c r="H6" s="231">
        <v>-5713000</v>
      </c>
      <c r="I6" s="231">
        <v>6963000</v>
      </c>
      <c r="J6" s="231">
        <v>11138000</v>
      </c>
      <c r="K6" s="232" t="s">
        <v>95</v>
      </c>
      <c r="L6" s="315">
        <v>60000000000000</v>
      </c>
      <c r="M6" s="231">
        <v>45</v>
      </c>
      <c r="N6" s="315">
        <v>0.01</v>
      </c>
    </row>
    <row r="7" spans="1:14" x14ac:dyDescent="0.2">
      <c r="B7" s="325" t="s">
        <v>99</v>
      </c>
      <c r="C7" s="326" t="s">
        <v>80</v>
      </c>
      <c r="D7" s="321" t="s">
        <v>100</v>
      </c>
      <c r="E7" s="317">
        <v>728700000</v>
      </c>
      <c r="F7" s="327" t="s">
        <v>95</v>
      </c>
      <c r="G7" s="317">
        <v>13280000</v>
      </c>
      <c r="H7" s="317">
        <v>52602000</v>
      </c>
      <c r="I7" s="317">
        <v>983757000</v>
      </c>
      <c r="J7" s="317">
        <v>412955000</v>
      </c>
      <c r="K7" s="328">
        <v>284.1429</v>
      </c>
      <c r="L7" s="317">
        <v>6802000000</v>
      </c>
      <c r="M7" s="317">
        <v>7750</v>
      </c>
      <c r="N7" s="318">
        <v>59.67</v>
      </c>
    </row>
    <row r="8" spans="1:14" x14ac:dyDescent="0.2">
      <c r="B8" s="322" t="s">
        <v>101</v>
      </c>
      <c r="C8" s="2" t="s">
        <v>80</v>
      </c>
      <c r="D8" s="320" t="s">
        <v>94</v>
      </c>
      <c r="E8" s="231">
        <v>796144000</v>
      </c>
      <c r="F8" s="315">
        <v>19.75</v>
      </c>
      <c r="G8" s="231">
        <v>11922000</v>
      </c>
      <c r="H8" s="231">
        <v>65016000</v>
      </c>
      <c r="I8" s="231">
        <v>426302000</v>
      </c>
      <c r="J8" s="231">
        <v>381403000</v>
      </c>
      <c r="K8" s="316">
        <v>-30.067599999999999</v>
      </c>
      <c r="L8" s="231">
        <v>87000000</v>
      </c>
      <c r="M8" s="231">
        <v>16300</v>
      </c>
      <c r="N8" s="315">
        <v>11.13</v>
      </c>
    </row>
    <row r="9" spans="1:14" x14ac:dyDescent="0.2">
      <c r="B9" s="322" t="s">
        <v>102</v>
      </c>
      <c r="C9" s="2" t="s">
        <v>80</v>
      </c>
      <c r="D9" s="320" t="s">
        <v>94</v>
      </c>
      <c r="E9" s="231">
        <v>1876504000</v>
      </c>
      <c r="F9" s="315">
        <v>56.58</v>
      </c>
      <c r="G9" s="231">
        <v>33796000</v>
      </c>
      <c r="H9" s="231">
        <v>128471000</v>
      </c>
      <c r="I9" s="231">
        <v>1592492000</v>
      </c>
      <c r="J9" s="231">
        <v>1407259000</v>
      </c>
      <c r="K9" s="316">
        <v>17.962299999999999</v>
      </c>
      <c r="L9" s="231">
        <v>546000000</v>
      </c>
      <c r="M9" s="231">
        <v>24300</v>
      </c>
      <c r="N9" s="315">
        <v>9.52</v>
      </c>
    </row>
    <row r="10" spans="1:14" x14ac:dyDescent="0.2">
      <c r="B10" s="323" t="s">
        <v>103</v>
      </c>
      <c r="C10" s="2" t="s">
        <v>62</v>
      </c>
      <c r="D10" s="320" t="s">
        <v>62</v>
      </c>
      <c r="E10" s="317">
        <v>9871649000</v>
      </c>
      <c r="F10" s="318">
        <v>26.2</v>
      </c>
      <c r="G10" s="317">
        <v>1228737000</v>
      </c>
      <c r="H10" s="317">
        <v>1877207000</v>
      </c>
      <c r="I10" s="317">
        <v>8044362000</v>
      </c>
      <c r="J10" s="317">
        <v>4982155000</v>
      </c>
      <c r="K10" s="319">
        <v>64.706999999999994</v>
      </c>
      <c r="L10" s="317">
        <v>78674000000</v>
      </c>
      <c r="M10" s="317">
        <v>104958</v>
      </c>
      <c r="N10" s="318">
        <v>2869.11</v>
      </c>
    </row>
    <row r="11" spans="1:14" x14ac:dyDescent="0.2">
      <c r="A11" t="s">
        <v>104</v>
      </c>
      <c r="B11" s="325" t="s">
        <v>105</v>
      </c>
      <c r="C11" s="2" t="s">
        <v>80</v>
      </c>
      <c r="D11" s="320" t="s">
        <v>94</v>
      </c>
      <c r="E11" s="231">
        <v>4479358000</v>
      </c>
      <c r="F11" s="315">
        <v>38.56</v>
      </c>
      <c r="G11" s="231">
        <v>519118000</v>
      </c>
      <c r="H11" s="231">
        <v>889632000</v>
      </c>
      <c r="I11" s="231">
        <v>1674899000</v>
      </c>
      <c r="J11" s="231">
        <v>5745266000</v>
      </c>
      <c r="K11" s="316">
        <v>32.302199999999999</v>
      </c>
      <c r="L11" s="231">
        <v>16486000000</v>
      </c>
      <c r="M11" s="231">
        <v>11000</v>
      </c>
      <c r="N11" s="315">
        <v>473.55</v>
      </c>
    </row>
    <row r="12" spans="1:14" x14ac:dyDescent="0.2">
      <c r="B12" s="322" t="s">
        <v>106</v>
      </c>
      <c r="C12" s="2" t="s">
        <v>80</v>
      </c>
      <c r="D12" s="320" t="s">
        <v>94</v>
      </c>
      <c r="E12" s="231">
        <v>468664000</v>
      </c>
      <c r="F12" s="315">
        <v>28.12</v>
      </c>
      <c r="G12" s="231">
        <v>25554000</v>
      </c>
      <c r="H12" s="231">
        <v>54889000</v>
      </c>
      <c r="I12" s="231">
        <v>592301000</v>
      </c>
      <c r="J12" s="231">
        <v>341605000</v>
      </c>
      <c r="K12" s="316">
        <v>11.2432</v>
      </c>
      <c r="L12" s="231">
        <v>260000000</v>
      </c>
      <c r="M12" s="231">
        <v>4931</v>
      </c>
      <c r="N12" s="315">
        <v>8.32</v>
      </c>
    </row>
    <row r="13" spans="1:14" x14ac:dyDescent="0.2">
      <c r="B13" s="322" t="s">
        <v>107</v>
      </c>
      <c r="C13" s="2" t="s">
        <v>80</v>
      </c>
      <c r="D13" s="320" t="s">
        <v>94</v>
      </c>
      <c r="E13" s="231">
        <v>138122000</v>
      </c>
      <c r="F13" s="315">
        <v>45.56</v>
      </c>
      <c r="G13" s="231">
        <v>11086000</v>
      </c>
      <c r="H13" s="231">
        <v>4715000</v>
      </c>
      <c r="I13" s="231">
        <v>91088000</v>
      </c>
      <c r="J13" s="231">
        <v>58517000</v>
      </c>
      <c r="K13" s="316">
        <v>2.8222</v>
      </c>
      <c r="L13" s="231">
        <v>28000000</v>
      </c>
      <c r="M13" s="231">
        <v>229</v>
      </c>
      <c r="N13" s="315">
        <v>2.54</v>
      </c>
    </row>
    <row r="14" spans="1:14" x14ac:dyDescent="0.2">
      <c r="B14" s="322" t="s">
        <v>108</v>
      </c>
      <c r="C14" s="2" t="s">
        <v>80</v>
      </c>
      <c r="D14" s="320" t="s">
        <v>94</v>
      </c>
      <c r="E14" s="231">
        <v>163664000</v>
      </c>
      <c r="F14" s="315">
        <v>18.54</v>
      </c>
      <c r="G14" s="231">
        <v>-13421000</v>
      </c>
      <c r="H14" s="231">
        <v>13667000</v>
      </c>
      <c r="I14" s="231">
        <v>120415000</v>
      </c>
      <c r="J14" s="231">
        <v>115006000</v>
      </c>
      <c r="K14" s="231">
        <v>0</v>
      </c>
      <c r="L14" s="232" t="s">
        <v>95</v>
      </c>
      <c r="M14" s="231">
        <v>4200</v>
      </c>
      <c r="N14" s="232"/>
    </row>
    <row r="15" spans="1:14" x14ac:dyDescent="0.2">
      <c r="B15" s="322" t="s">
        <v>109</v>
      </c>
      <c r="C15" s="2" t="s">
        <v>80</v>
      </c>
      <c r="D15" s="320" t="s">
        <v>94</v>
      </c>
      <c r="E15" s="231">
        <v>1692306000</v>
      </c>
      <c r="F15" s="315">
        <v>30.03</v>
      </c>
      <c r="G15" s="231">
        <v>130826000</v>
      </c>
      <c r="H15" s="231">
        <v>334177000</v>
      </c>
      <c r="I15" s="231">
        <v>3001092000</v>
      </c>
      <c r="J15" s="231">
        <v>3719419000</v>
      </c>
      <c r="K15" s="316">
        <v>10.4816</v>
      </c>
      <c r="L15" s="231">
        <v>1177000000</v>
      </c>
      <c r="M15" s="231">
        <v>9523</v>
      </c>
      <c r="N15" s="315">
        <v>59.64</v>
      </c>
    </row>
    <row r="16" spans="1:14" x14ac:dyDescent="0.2">
      <c r="B16" s="322" t="s">
        <v>110</v>
      </c>
      <c r="C16" s="2" t="s">
        <v>111</v>
      </c>
      <c r="D16" s="320" t="s">
        <v>94</v>
      </c>
      <c r="E16" s="231">
        <v>25493700000</v>
      </c>
      <c r="F16" s="315">
        <v>66.83</v>
      </c>
      <c r="G16" s="231">
        <v>8468800000</v>
      </c>
      <c r="H16" s="231">
        <v>13384500000</v>
      </c>
      <c r="I16" s="231">
        <v>56146800000</v>
      </c>
      <c r="J16" s="231">
        <v>60853500000</v>
      </c>
      <c r="K16" s="316">
        <v>23.528600000000001</v>
      </c>
      <c r="L16" s="315">
        <v>196391000000</v>
      </c>
      <c r="M16" s="231">
        <v>150000</v>
      </c>
      <c r="N16" s="315">
        <v>271.99</v>
      </c>
    </row>
    <row r="17" spans="1:14" x14ac:dyDescent="0.2">
      <c r="B17" s="322" t="s">
        <v>112</v>
      </c>
      <c r="C17" s="2" t="s">
        <v>80</v>
      </c>
      <c r="D17" s="320" t="s">
        <v>94</v>
      </c>
      <c r="E17" s="231">
        <v>672494000</v>
      </c>
      <c r="F17" s="315">
        <v>72.599999999999994</v>
      </c>
      <c r="G17" s="231">
        <v>6138000</v>
      </c>
      <c r="H17" s="231">
        <v>37115000</v>
      </c>
      <c r="I17" s="231">
        <v>816905000</v>
      </c>
      <c r="J17" s="231">
        <v>695762000</v>
      </c>
      <c r="K17" s="232" t="s">
        <v>95</v>
      </c>
      <c r="L17" s="231">
        <v>231000000</v>
      </c>
      <c r="M17" s="231">
        <v>2600</v>
      </c>
      <c r="N17" s="315">
        <v>35.5</v>
      </c>
    </row>
    <row r="18" spans="1:14" x14ac:dyDescent="0.2">
      <c r="B18" s="322" t="s">
        <v>113</v>
      </c>
      <c r="C18" s="2" t="s">
        <v>80</v>
      </c>
      <c r="D18" s="320" t="s">
        <v>94</v>
      </c>
      <c r="E18" s="231">
        <v>2135713000</v>
      </c>
      <c r="F18" s="315">
        <v>19.739999999999998</v>
      </c>
      <c r="G18" s="231">
        <v>82098000</v>
      </c>
      <c r="H18" s="231">
        <v>211231000</v>
      </c>
      <c r="I18" s="231">
        <v>875005000</v>
      </c>
      <c r="J18" s="231">
        <v>1334097000</v>
      </c>
      <c r="K18" s="316">
        <v>25.201599999999999</v>
      </c>
      <c r="L18" s="231">
        <v>2048000000</v>
      </c>
      <c r="M18" s="231">
        <v>12000</v>
      </c>
      <c r="N18" s="315">
        <v>62.5</v>
      </c>
    </row>
    <row r="19" spans="1:14" x14ac:dyDescent="0.2">
      <c r="B19" s="322" t="s">
        <v>114</v>
      </c>
      <c r="C19" s="2" t="s">
        <v>80</v>
      </c>
      <c r="D19" s="320" t="s">
        <v>94</v>
      </c>
      <c r="E19" s="231">
        <v>491409000</v>
      </c>
      <c r="F19" s="315">
        <v>15.81</v>
      </c>
      <c r="G19" s="231">
        <v>5119000</v>
      </c>
      <c r="H19" s="231">
        <v>21905000</v>
      </c>
      <c r="I19" s="231">
        <v>252460000</v>
      </c>
      <c r="J19" s="231">
        <v>237767000</v>
      </c>
      <c r="K19" s="316">
        <v>61.411799999999999</v>
      </c>
      <c r="L19" s="231">
        <v>309000000</v>
      </c>
      <c r="M19" s="231">
        <v>6000</v>
      </c>
      <c r="N19" s="315">
        <v>10.44</v>
      </c>
    </row>
    <row r="20" spans="1:14" x14ac:dyDescent="0.2">
      <c r="B20" s="322" t="s">
        <v>115</v>
      </c>
      <c r="C20" s="2" t="s">
        <v>80</v>
      </c>
      <c r="D20" s="320" t="s">
        <v>94</v>
      </c>
      <c r="E20" s="231">
        <v>293790000</v>
      </c>
      <c r="F20" s="315">
        <v>86.72</v>
      </c>
      <c r="G20" s="231">
        <v>29246000</v>
      </c>
      <c r="H20" s="231">
        <v>74684000</v>
      </c>
      <c r="I20" s="231">
        <v>610884000</v>
      </c>
      <c r="J20" s="231">
        <v>329303000</v>
      </c>
      <c r="K20" s="316">
        <v>18.575500000000002</v>
      </c>
      <c r="L20" s="231">
        <v>483000000</v>
      </c>
      <c r="M20" s="231">
        <v>3778</v>
      </c>
      <c r="N20" s="315">
        <v>51.64</v>
      </c>
    </row>
    <row r="21" spans="1:14" x14ac:dyDescent="0.2">
      <c r="B21" s="322" t="s">
        <v>116</v>
      </c>
      <c r="C21" s="2" t="s">
        <v>80</v>
      </c>
      <c r="D21" s="320" t="s">
        <v>94</v>
      </c>
      <c r="E21" s="231">
        <v>161698417</v>
      </c>
      <c r="F21" s="315">
        <v>2.72</v>
      </c>
      <c r="G21" s="231">
        <v>-7962428</v>
      </c>
      <c r="H21" s="231">
        <v>-7345377</v>
      </c>
      <c r="I21" s="231">
        <v>27229526</v>
      </c>
      <c r="J21" s="231">
        <v>10668514</v>
      </c>
      <c r="K21" s="232" t="s">
        <v>95</v>
      </c>
      <c r="L21" s="231">
        <v>13000000</v>
      </c>
      <c r="M21" s="232" t="s">
        <v>95</v>
      </c>
      <c r="N21" s="315">
        <v>0.27</v>
      </c>
    </row>
    <row r="22" spans="1:14" x14ac:dyDescent="0.2">
      <c r="B22" s="325" t="s">
        <v>117</v>
      </c>
      <c r="C22" s="326" t="s">
        <v>118</v>
      </c>
      <c r="D22" s="321" t="s">
        <v>100</v>
      </c>
      <c r="E22" s="317">
        <v>1087533000</v>
      </c>
      <c r="F22" s="318">
        <v>43.97</v>
      </c>
      <c r="G22" s="317">
        <v>20264000</v>
      </c>
      <c r="H22" s="317">
        <v>22021000</v>
      </c>
      <c r="I22" s="317">
        <v>1605857000</v>
      </c>
      <c r="J22" s="317">
        <v>1162440000</v>
      </c>
      <c r="K22" s="328">
        <v>196.66669999999999</v>
      </c>
      <c r="L22" s="317">
        <v>3727000000</v>
      </c>
      <c r="M22" s="317">
        <v>11704</v>
      </c>
      <c r="N22" s="318">
        <v>94.4</v>
      </c>
    </row>
    <row r="23" spans="1:14" x14ac:dyDescent="0.2">
      <c r="A23" t="s">
        <v>104</v>
      </c>
      <c r="B23" s="325" t="s">
        <v>119</v>
      </c>
      <c r="C23" s="2" t="s">
        <v>111</v>
      </c>
      <c r="D23" s="320" t="s">
        <v>94</v>
      </c>
      <c r="E23" s="231">
        <v>35975600000</v>
      </c>
      <c r="F23" s="315">
        <v>68.290000000000006</v>
      </c>
      <c r="G23" s="231">
        <v>4124500000</v>
      </c>
      <c r="H23" s="231">
        <v>7022700000</v>
      </c>
      <c r="I23" s="231">
        <v>29445500000</v>
      </c>
      <c r="J23" s="231">
        <v>37440300000</v>
      </c>
      <c r="K23" s="316">
        <v>23.4251</v>
      </c>
      <c r="L23" s="231">
        <v>99192000000</v>
      </c>
      <c r="M23" s="231">
        <v>381000</v>
      </c>
      <c r="N23" s="315">
        <v>87.61</v>
      </c>
    </row>
    <row r="24" spans="1:14" x14ac:dyDescent="0.2">
      <c r="B24" s="325" t="s">
        <v>120</v>
      </c>
      <c r="C24" s="326" t="s">
        <v>118</v>
      </c>
      <c r="D24" s="321" t="s">
        <v>100</v>
      </c>
      <c r="E24" s="317">
        <v>584041000</v>
      </c>
      <c r="F24" s="318">
        <v>17.45</v>
      </c>
      <c r="G24" s="317">
        <v>-113384000</v>
      </c>
      <c r="H24" s="317">
        <v>-76319000</v>
      </c>
      <c r="I24" s="317">
        <v>856557000</v>
      </c>
      <c r="J24" s="317">
        <v>373960000</v>
      </c>
      <c r="K24" s="327" t="s">
        <v>95</v>
      </c>
      <c r="L24" s="317">
        <v>2066000000</v>
      </c>
      <c r="M24" s="317">
        <v>5952</v>
      </c>
      <c r="N24" s="318">
        <v>20.65</v>
      </c>
    </row>
    <row r="25" spans="1:14" x14ac:dyDescent="0.2">
      <c r="B25" s="322" t="s">
        <v>121</v>
      </c>
      <c r="C25" s="2" t="s">
        <v>80</v>
      </c>
      <c r="D25" s="320" t="s">
        <v>94</v>
      </c>
      <c r="E25" s="231">
        <v>2545671</v>
      </c>
      <c r="F25" s="315">
        <v>70.42</v>
      </c>
      <c r="G25" s="231">
        <v>-5347396</v>
      </c>
      <c r="H25" s="231">
        <v>-4950738</v>
      </c>
      <c r="I25" s="231">
        <v>8385669</v>
      </c>
      <c r="J25" s="231">
        <v>1125909</v>
      </c>
      <c r="K25" s="231">
        <v>0</v>
      </c>
      <c r="L25" s="232" t="s">
        <v>95</v>
      </c>
      <c r="M25" s="231">
        <v>21</v>
      </c>
      <c r="N25" s="232"/>
    </row>
    <row r="26" spans="1:14" x14ac:dyDescent="0.2">
      <c r="B26" s="322" t="s">
        <v>122</v>
      </c>
      <c r="C26" s="2" t="s">
        <v>80</v>
      </c>
      <c r="D26" s="320" t="s">
        <v>94</v>
      </c>
      <c r="E26" s="231">
        <v>2181578000</v>
      </c>
      <c r="F26" s="315">
        <v>55.21</v>
      </c>
      <c r="G26" s="231">
        <v>204440000</v>
      </c>
      <c r="H26" s="231">
        <v>489648000</v>
      </c>
      <c r="I26" s="231">
        <v>5182826000</v>
      </c>
      <c r="J26" s="231">
        <v>4873047000</v>
      </c>
      <c r="K26" s="316">
        <v>19.845400000000001</v>
      </c>
      <c r="L26" s="231">
        <v>3955000000</v>
      </c>
      <c r="M26" s="231">
        <v>14500</v>
      </c>
      <c r="N26" s="315">
        <v>19.25</v>
      </c>
    </row>
    <row r="27" spans="1:14" x14ac:dyDescent="0.2">
      <c r="B27" s="322" t="s">
        <v>123</v>
      </c>
      <c r="C27" s="2" t="s">
        <v>80</v>
      </c>
      <c r="D27" s="320" t="s">
        <v>94</v>
      </c>
      <c r="E27" s="231">
        <v>10312046</v>
      </c>
      <c r="F27" s="315">
        <v>59.89</v>
      </c>
      <c r="G27" s="231">
        <v>-566473</v>
      </c>
      <c r="H27" s="231">
        <v>-10918</v>
      </c>
      <c r="I27" s="231">
        <v>23526512</v>
      </c>
      <c r="J27" s="231">
        <v>13194673</v>
      </c>
      <c r="K27" s="232" t="s">
        <v>95</v>
      </c>
      <c r="L27" s="231">
        <v>30000000</v>
      </c>
      <c r="M27" s="231">
        <v>80</v>
      </c>
      <c r="N27" s="315">
        <v>30000</v>
      </c>
    </row>
    <row r="28" spans="1:14" x14ac:dyDescent="0.2">
      <c r="B28" s="322" t="s">
        <v>124</v>
      </c>
      <c r="C28" s="2" t="s">
        <v>111</v>
      </c>
      <c r="D28" s="320" t="s">
        <v>94</v>
      </c>
      <c r="E28" s="231">
        <v>10978000000</v>
      </c>
      <c r="F28" s="315">
        <v>17.5</v>
      </c>
      <c r="G28" s="231">
        <v>827000000</v>
      </c>
      <c r="H28" s="231">
        <v>1499000000</v>
      </c>
      <c r="I28" s="231">
        <v>12031000000</v>
      </c>
      <c r="J28" s="231">
        <v>5626000000</v>
      </c>
      <c r="K28" s="316">
        <v>18.8325</v>
      </c>
      <c r="L28" s="231">
        <v>14868000000</v>
      </c>
      <c r="M28" s="231">
        <v>145000</v>
      </c>
      <c r="N28" s="315">
        <v>37.1</v>
      </c>
    </row>
    <row r="29" spans="1:14" x14ac:dyDescent="0.2">
      <c r="B29" s="325" t="s">
        <v>125</v>
      </c>
      <c r="C29" s="326" t="s">
        <v>111</v>
      </c>
      <c r="D29" s="321" t="s">
        <v>100</v>
      </c>
      <c r="E29" s="317">
        <v>7076000000</v>
      </c>
      <c r="F29" s="318">
        <v>49.41</v>
      </c>
      <c r="G29" s="317">
        <v>1597000000</v>
      </c>
      <c r="H29" s="317">
        <v>2457000000</v>
      </c>
      <c r="I29" s="317">
        <v>6231000000</v>
      </c>
      <c r="J29" s="317">
        <v>14089000000</v>
      </c>
      <c r="K29" s="328">
        <v>24.776399999999999</v>
      </c>
      <c r="L29" s="317">
        <v>38823000000</v>
      </c>
      <c r="M29" s="317">
        <v>36000</v>
      </c>
      <c r="N29" s="318">
        <v>138.5</v>
      </c>
    </row>
    <row r="30" spans="1:14" x14ac:dyDescent="0.2">
      <c r="F30" s="324"/>
    </row>
    <row r="31" spans="1:14" x14ac:dyDescent="0.2">
      <c r="F31" s="324"/>
    </row>
    <row r="32" spans="1:14" x14ac:dyDescent="0.2">
      <c r="F32" s="324"/>
    </row>
    <row r="33" spans="6:6" x14ac:dyDescent="0.2">
      <c r="F33" s="324"/>
    </row>
    <row r="34" spans="6:6" x14ac:dyDescent="0.2">
      <c r="F34" s="324"/>
    </row>
    <row r="35" spans="6:6" x14ac:dyDescent="0.2">
      <c r="F35" s="324"/>
    </row>
    <row r="36" spans="6:6" x14ac:dyDescent="0.2">
      <c r="F36" s="324"/>
    </row>
    <row r="37" spans="6:6" x14ac:dyDescent="0.2">
      <c r="F37" s="324"/>
    </row>
    <row r="38" spans="6:6" x14ac:dyDescent="0.2">
      <c r="F38" s="324"/>
    </row>
    <row r="39" spans="6:6" x14ac:dyDescent="0.2">
      <c r="F39" s="324"/>
    </row>
    <row r="40" spans="6:6" x14ac:dyDescent="0.2">
      <c r="F40" s="324"/>
    </row>
    <row r="41" spans="6:6" x14ac:dyDescent="0.2">
      <c r="F41" s="324"/>
    </row>
    <row r="42" spans="6:6" x14ac:dyDescent="0.2">
      <c r="F42" s="324"/>
    </row>
    <row r="43" spans="6:6" x14ac:dyDescent="0.2">
      <c r="F43" s="324"/>
    </row>
    <row r="44" spans="6:6" x14ac:dyDescent="0.2">
      <c r="F44" s="324"/>
    </row>
    <row r="45" spans="6:6" x14ac:dyDescent="0.2">
      <c r="F45" s="324"/>
    </row>
    <row r="46" spans="6:6" x14ac:dyDescent="0.2">
      <c r="F46" s="324"/>
    </row>
    <row r="47" spans="6:6" x14ac:dyDescent="0.2">
      <c r="F47" s="324"/>
    </row>
    <row r="48" spans="6:6" x14ac:dyDescent="0.2">
      <c r="F48" s="324"/>
    </row>
    <row r="49" spans="6:6" x14ac:dyDescent="0.2">
      <c r="F49" s="324"/>
    </row>
    <row r="50" spans="6:6" x14ac:dyDescent="0.2">
      <c r="F50" s="324"/>
    </row>
    <row r="51" spans="6:6" x14ac:dyDescent="0.2">
      <c r="F51" s="324"/>
    </row>
    <row r="52" spans="6:6" x14ac:dyDescent="0.2">
      <c r="F52" s="324"/>
    </row>
    <row r="53" spans="6:6" x14ac:dyDescent="0.2">
      <c r="F53" s="324"/>
    </row>
    <row r="54" spans="6:6" x14ac:dyDescent="0.2">
      <c r="F54" s="324"/>
    </row>
    <row r="55" spans="6:6" x14ac:dyDescent="0.2">
      <c r="F55" s="324"/>
    </row>
    <row r="56" spans="6:6" x14ac:dyDescent="0.2">
      <c r="F56" s="324"/>
    </row>
    <row r="57" spans="6:6" x14ac:dyDescent="0.2">
      <c r="F57" s="324"/>
    </row>
    <row r="58" spans="6:6" x14ac:dyDescent="0.2">
      <c r="F58" s="324"/>
    </row>
    <row r="59" spans="6:6" x14ac:dyDescent="0.2">
      <c r="F59" s="324"/>
    </row>
    <row r="60" spans="6:6" x14ac:dyDescent="0.2">
      <c r="F60" s="324"/>
    </row>
    <row r="61" spans="6:6" x14ac:dyDescent="0.2">
      <c r="F61" s="324"/>
    </row>
    <row r="62" spans="6:6" x14ac:dyDescent="0.2">
      <c r="F62" s="324"/>
    </row>
    <row r="63" spans="6:6" x14ac:dyDescent="0.2">
      <c r="F63" s="324"/>
    </row>
    <row r="64" spans="6:6" x14ac:dyDescent="0.2">
      <c r="F64" s="324"/>
    </row>
    <row r="65" spans="6:6" x14ac:dyDescent="0.2">
      <c r="F65" s="324"/>
    </row>
    <row r="66" spans="6:6" x14ac:dyDescent="0.2">
      <c r="F66" s="324"/>
    </row>
    <row r="67" spans="6:6" x14ac:dyDescent="0.2">
      <c r="F67" s="324"/>
    </row>
    <row r="68" spans="6:6" x14ac:dyDescent="0.2">
      <c r="F68" s="324"/>
    </row>
    <row r="69" spans="6:6" x14ac:dyDescent="0.2">
      <c r="F69" s="324"/>
    </row>
    <row r="70" spans="6:6" x14ac:dyDescent="0.2">
      <c r="F70" s="324"/>
    </row>
    <row r="71" spans="6:6" x14ac:dyDescent="0.2">
      <c r="F71" s="324"/>
    </row>
    <row r="72" spans="6:6" x14ac:dyDescent="0.2">
      <c r="F72" s="324"/>
    </row>
    <row r="73" spans="6:6" x14ac:dyDescent="0.2">
      <c r="F73" s="324"/>
    </row>
    <row r="74" spans="6:6" x14ac:dyDescent="0.2">
      <c r="F74" s="324"/>
    </row>
    <row r="75" spans="6:6" x14ac:dyDescent="0.2">
      <c r="F75" s="324"/>
    </row>
    <row r="76" spans="6:6" x14ac:dyDescent="0.2">
      <c r="F76" s="324"/>
    </row>
    <row r="77" spans="6:6" x14ac:dyDescent="0.2">
      <c r="F77" s="324"/>
    </row>
    <row r="78" spans="6:6" x14ac:dyDescent="0.2">
      <c r="F78" s="324"/>
    </row>
    <row r="79" spans="6:6" x14ac:dyDescent="0.2">
      <c r="F79" s="324"/>
    </row>
    <row r="80" spans="6:6" x14ac:dyDescent="0.2">
      <c r="F80" s="324"/>
    </row>
    <row r="81" spans="6:6" x14ac:dyDescent="0.2">
      <c r="F81" s="324"/>
    </row>
    <row r="82" spans="6:6" x14ac:dyDescent="0.2">
      <c r="F82" s="324"/>
    </row>
    <row r="83" spans="6:6" x14ac:dyDescent="0.2">
      <c r="F83" s="324"/>
    </row>
    <row r="84" spans="6:6" x14ac:dyDescent="0.2">
      <c r="F84" s="324"/>
    </row>
    <row r="85" spans="6:6" x14ac:dyDescent="0.2">
      <c r="F85" s="324"/>
    </row>
    <row r="86" spans="6:6" x14ac:dyDescent="0.2">
      <c r="F86" s="324"/>
    </row>
    <row r="87" spans="6:6" x14ac:dyDescent="0.2">
      <c r="F87" s="324"/>
    </row>
    <row r="88" spans="6:6" x14ac:dyDescent="0.2">
      <c r="F88" s="324"/>
    </row>
    <row r="89" spans="6:6" x14ac:dyDescent="0.2">
      <c r="F89" s="324"/>
    </row>
    <row r="90" spans="6:6" x14ac:dyDescent="0.2">
      <c r="F90" s="324"/>
    </row>
  </sheetData>
  <conditionalFormatting sqref="E3:N29">
    <cfRule type="colorScale" priority="1">
      <colorScale>
        <cfvo type="min"/>
        <cfvo type="percentile" val="50"/>
        <cfvo type="max"/>
        <color rgb="FFF8696B"/>
        <color rgb="FFFFEB84"/>
        <color rgb="FF63BE7B"/>
      </colorScale>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9FB30-E3E8-488C-9193-30505AB19FD3}">
  <dimension ref="A1:S177"/>
  <sheetViews>
    <sheetView topLeftCell="A48" zoomScale="91" zoomScaleNormal="100" workbookViewId="0">
      <selection activeCell="B29" sqref="B29"/>
    </sheetView>
  </sheetViews>
  <sheetFormatPr baseColWidth="10" defaultColWidth="8.83203125" defaultRowHeight="15" x14ac:dyDescent="0.2"/>
  <cols>
    <col min="1" max="1" width="3.6640625" customWidth="1"/>
    <col min="2" max="2" width="30.6640625" customWidth="1"/>
    <col min="3" max="3" width="19" bestFit="1" customWidth="1"/>
    <col min="4" max="4" width="11.33203125" bestFit="1" customWidth="1"/>
    <col min="5" max="5" width="16" customWidth="1"/>
    <col min="6" max="6" width="20.33203125" bestFit="1" customWidth="1"/>
    <col min="7" max="7" width="14.33203125" customWidth="1"/>
    <col min="8" max="8" width="17.6640625" customWidth="1"/>
    <col min="9" max="9" width="13.33203125" customWidth="1"/>
    <col min="10" max="10" width="13.6640625" bestFit="1" customWidth="1"/>
    <col min="11" max="11" width="14" customWidth="1"/>
    <col min="12" max="13" width="14.6640625" bestFit="1" customWidth="1"/>
    <col min="14" max="14" width="19" bestFit="1" customWidth="1"/>
    <col min="15" max="15" width="14.6640625" bestFit="1" customWidth="1"/>
    <col min="18" max="18" width="14" customWidth="1"/>
    <col min="19" max="19" width="18.6640625" bestFit="1" customWidth="1"/>
  </cols>
  <sheetData>
    <row r="1" spans="1:19" x14ac:dyDescent="0.2">
      <c r="A1" s="6"/>
      <c r="B1" s="6"/>
      <c r="C1" s="6"/>
      <c r="D1" s="6"/>
      <c r="E1" s="6"/>
      <c r="F1" s="6"/>
      <c r="G1" s="6"/>
      <c r="H1" s="6"/>
      <c r="I1" s="6"/>
      <c r="J1" s="6"/>
      <c r="K1" s="6"/>
      <c r="L1" s="6"/>
      <c r="M1" s="6"/>
      <c r="N1" s="6"/>
      <c r="O1" s="6"/>
      <c r="P1" s="6"/>
      <c r="Q1" s="6"/>
      <c r="R1" s="6"/>
      <c r="S1" s="6"/>
    </row>
    <row r="2" spans="1:19" x14ac:dyDescent="0.2">
      <c r="A2" s="6"/>
      <c r="B2" s="7" t="s">
        <v>16</v>
      </c>
      <c r="C2" s="8" t="s">
        <v>17</v>
      </c>
      <c r="D2" s="6"/>
      <c r="E2" s="6"/>
      <c r="F2" s="6"/>
      <c r="G2" s="6"/>
      <c r="H2" s="6"/>
      <c r="I2" s="6"/>
      <c r="J2" s="6"/>
      <c r="K2" s="6"/>
      <c r="L2" s="6"/>
      <c r="M2" s="6"/>
      <c r="N2" s="6"/>
      <c r="O2" s="6"/>
      <c r="P2" s="6"/>
      <c r="Q2" s="6"/>
      <c r="R2" s="6"/>
      <c r="S2" s="6"/>
    </row>
    <row r="3" spans="1:19" x14ac:dyDescent="0.2">
      <c r="A3" s="6"/>
      <c r="B3" s="9" t="s">
        <v>13</v>
      </c>
      <c r="C3" s="6" t="str" cm="1">
        <f t="array" ref="C3">_FV(B6,"Ticker symbol",TRUE)</f>
        <v>CMG</v>
      </c>
      <c r="D3" s="6"/>
      <c r="E3" s="6"/>
      <c r="F3" s="6"/>
      <c r="G3" s="6"/>
      <c r="H3" s="6"/>
      <c r="I3" s="6"/>
      <c r="J3" s="6"/>
      <c r="K3" s="6"/>
      <c r="L3" s="6"/>
      <c r="M3" s="6"/>
      <c r="N3" s="6"/>
      <c r="O3" s="6"/>
      <c r="P3" s="6"/>
      <c r="Q3" s="6"/>
      <c r="R3" s="6"/>
      <c r="S3" s="6"/>
    </row>
    <row r="4" spans="1:19" x14ac:dyDescent="0.2">
      <c r="A4" s="6"/>
      <c r="B4" s="9" t="s">
        <v>92</v>
      </c>
      <c r="C4" s="10" cm="1">
        <f t="array" ref="C4">_FV(B6,"Price")</f>
        <v>50.36</v>
      </c>
      <c r="D4" s="6"/>
      <c r="E4" s="6"/>
      <c r="F4" s="6"/>
      <c r="G4" s="6"/>
      <c r="H4" s="6"/>
      <c r="I4" s="6"/>
      <c r="J4" s="6"/>
      <c r="K4" s="6"/>
      <c r="L4" s="6"/>
      <c r="M4" s="6"/>
      <c r="N4" s="6"/>
      <c r="O4" s="6"/>
      <c r="P4" s="6"/>
      <c r="Q4" s="6"/>
      <c r="R4" s="6"/>
      <c r="S4" s="6"/>
    </row>
    <row r="5" spans="1:19" x14ac:dyDescent="0.2">
      <c r="A5" s="6"/>
      <c r="B5" s="11" t="s">
        <v>126</v>
      </c>
      <c r="C5" s="12">
        <f ca="1">TODAY()</f>
        <v>45783</v>
      </c>
      <c r="D5" s="6"/>
      <c r="E5" s="6"/>
      <c r="F5" s="6"/>
      <c r="G5" s="6"/>
      <c r="H5" s="6"/>
      <c r="I5" s="6"/>
      <c r="J5" s="6"/>
      <c r="K5" s="6"/>
      <c r="L5" s="6"/>
      <c r="M5" s="6"/>
      <c r="N5" s="6"/>
      <c r="O5" s="6"/>
      <c r="P5" s="6"/>
      <c r="Q5" s="6"/>
      <c r="R5" s="6"/>
      <c r="S5" s="6"/>
    </row>
    <row r="6" spans="1:19" x14ac:dyDescent="0.2">
      <c r="A6" s="6"/>
      <c r="B6" s="13" t="e" vm="1">
        <v>#VALUE!</v>
      </c>
      <c r="C6" s="6"/>
      <c r="D6" s="6"/>
      <c r="E6" s="6"/>
      <c r="F6" s="6"/>
      <c r="G6" s="6"/>
      <c r="H6" s="6"/>
      <c r="I6" s="6"/>
      <c r="J6" s="6"/>
      <c r="K6" s="6"/>
      <c r="L6" s="6"/>
      <c r="M6" s="6"/>
      <c r="N6" s="6"/>
      <c r="O6" s="6"/>
      <c r="P6" s="6"/>
      <c r="Q6" s="6"/>
      <c r="R6" s="6"/>
      <c r="S6" s="6"/>
    </row>
    <row r="7" spans="1:19" x14ac:dyDescent="0.2">
      <c r="A7" s="6"/>
      <c r="B7" s="14" t="e">
        <f>C2&amp;" ("&amp;B6&amp;") DISCOUNTED CASH FLOWS MODEL"</f>
        <v>#VALUE!</v>
      </c>
      <c r="C7" s="6"/>
      <c r="D7" s="6"/>
      <c r="E7" s="6"/>
      <c r="F7" s="6"/>
      <c r="G7" s="6"/>
      <c r="H7" s="6"/>
      <c r="I7" s="6"/>
      <c r="J7" s="6"/>
      <c r="K7" s="6"/>
      <c r="L7" s="6"/>
      <c r="M7" s="6"/>
      <c r="N7" s="6"/>
      <c r="O7" s="6"/>
      <c r="P7" s="6"/>
      <c r="Q7" s="6"/>
      <c r="R7" s="6"/>
      <c r="S7" s="6"/>
    </row>
    <row r="8" spans="1:19" x14ac:dyDescent="0.2">
      <c r="A8" s="6"/>
      <c r="B8" s="15" t="s">
        <v>11</v>
      </c>
      <c r="C8" s="6"/>
      <c r="D8" s="15"/>
      <c r="E8" s="15"/>
      <c r="F8" s="6"/>
      <c r="G8" s="6"/>
      <c r="H8" s="6"/>
      <c r="I8" s="6"/>
      <c r="J8" s="6"/>
      <c r="K8" s="6"/>
      <c r="L8" s="6"/>
      <c r="M8" s="6"/>
      <c r="N8" s="6"/>
      <c r="O8" s="6"/>
      <c r="P8" s="6"/>
      <c r="Q8" s="6"/>
      <c r="R8" s="6"/>
      <c r="S8" s="6"/>
    </row>
    <row r="9" spans="1:19" x14ac:dyDescent="0.2">
      <c r="A9" s="6"/>
      <c r="B9" s="15"/>
      <c r="C9" s="6"/>
      <c r="D9" s="15"/>
      <c r="E9" s="15"/>
      <c r="F9" s="6"/>
      <c r="G9" s="6"/>
      <c r="H9" s="6"/>
      <c r="I9" s="6"/>
      <c r="J9" s="6"/>
      <c r="K9" s="6"/>
      <c r="L9" s="6"/>
      <c r="M9" s="6"/>
      <c r="N9" s="6"/>
      <c r="O9" s="6"/>
      <c r="P9" s="6"/>
      <c r="Q9" s="6"/>
      <c r="R9" s="6"/>
      <c r="S9" s="6"/>
    </row>
    <row r="10" spans="1:19" x14ac:dyDescent="0.2">
      <c r="A10" s="6" t="s">
        <v>104</v>
      </c>
      <c r="B10" s="16" t="s">
        <v>127</v>
      </c>
      <c r="C10" s="17"/>
      <c r="D10" s="16"/>
      <c r="E10" s="16"/>
      <c r="F10" s="17"/>
      <c r="G10" s="17"/>
      <c r="H10" s="17"/>
      <c r="I10" s="17"/>
      <c r="J10" s="17"/>
      <c r="K10" s="17"/>
      <c r="L10" s="17"/>
      <c r="M10" s="17"/>
      <c r="N10" s="17"/>
      <c r="O10" s="17"/>
      <c r="P10" s="6"/>
      <c r="Q10" s="6"/>
      <c r="R10" s="6"/>
      <c r="S10" s="6"/>
    </row>
    <row r="11" spans="1:19" x14ac:dyDescent="0.2">
      <c r="A11" s="6"/>
      <c r="B11" s="6"/>
      <c r="C11" s="15"/>
      <c r="D11" s="15"/>
      <c r="E11" s="15"/>
      <c r="F11" s="6"/>
      <c r="G11" s="6"/>
      <c r="H11" s="6"/>
      <c r="I11" s="6"/>
      <c r="J11" s="6"/>
      <c r="K11" s="6"/>
      <c r="L11" s="6"/>
      <c r="M11" s="6"/>
      <c r="N11" s="6"/>
      <c r="O11" s="6"/>
      <c r="P11" s="6"/>
      <c r="Q11" s="6"/>
      <c r="R11" s="6"/>
      <c r="S11" s="6"/>
    </row>
    <row r="12" spans="1:19" x14ac:dyDescent="0.2">
      <c r="A12" s="6"/>
      <c r="B12" s="15"/>
      <c r="C12" s="15"/>
      <c r="D12" s="15"/>
      <c r="E12" s="15"/>
      <c r="F12" s="18" t="s">
        <v>128</v>
      </c>
      <c r="G12" s="19"/>
      <c r="H12" s="19"/>
      <c r="I12" s="19"/>
      <c r="J12" s="20"/>
      <c r="K12" s="18" t="s">
        <v>129</v>
      </c>
      <c r="L12" s="19"/>
      <c r="M12" s="19"/>
      <c r="N12" s="19"/>
      <c r="O12" s="20"/>
      <c r="P12" s="6"/>
      <c r="Q12" s="6"/>
      <c r="R12" s="6"/>
      <c r="S12" s="6"/>
    </row>
    <row r="13" spans="1:19" x14ac:dyDescent="0.2">
      <c r="A13" s="6"/>
      <c r="B13" s="15"/>
      <c r="C13" s="15"/>
      <c r="D13" s="15"/>
      <c r="E13" s="15"/>
      <c r="F13" s="21">
        <v>2019</v>
      </c>
      <c r="G13" s="22">
        <v>2020</v>
      </c>
      <c r="H13" s="22">
        <v>2021</v>
      </c>
      <c r="I13" s="22">
        <v>2022</v>
      </c>
      <c r="J13" s="23">
        <v>2023</v>
      </c>
      <c r="K13" s="24">
        <v>2024</v>
      </c>
      <c r="L13" s="24">
        <v>2025</v>
      </c>
      <c r="M13" s="24">
        <v>2026</v>
      </c>
      <c r="N13" s="24">
        <f t="shared" ref="N13:O13" si="0">M13+1</f>
        <v>2027</v>
      </c>
      <c r="O13" s="24">
        <f t="shared" si="0"/>
        <v>2028</v>
      </c>
      <c r="P13" s="6"/>
      <c r="Q13" s="6"/>
      <c r="R13" s="6"/>
      <c r="S13" s="6"/>
    </row>
    <row r="14" spans="1:19" x14ac:dyDescent="0.2">
      <c r="A14" s="6"/>
      <c r="B14" s="25" t="s">
        <v>130</v>
      </c>
      <c r="C14" s="25"/>
      <c r="D14" s="25"/>
      <c r="E14" s="25"/>
      <c r="F14" s="26">
        <v>5586369</v>
      </c>
      <c r="G14" s="26">
        <v>5984634</v>
      </c>
      <c r="H14" s="26">
        <v>7547061</v>
      </c>
      <c r="I14" s="26">
        <v>8634652</v>
      </c>
      <c r="J14" s="27">
        <v>9871649</v>
      </c>
      <c r="K14" s="28">
        <f>J14*(1+K35)</f>
        <v>11253679.860000001</v>
      </c>
      <c r="L14" s="28">
        <f>K14*(1+L35)</f>
        <v>12913597.639350001</v>
      </c>
      <c r="M14" s="28">
        <f>L14*(1+M35)</f>
        <v>14915205.273449251</v>
      </c>
      <c r="N14" s="28">
        <f>M14*(1+N35)</f>
        <v>17338926.130384754</v>
      </c>
      <c r="O14" s="28">
        <f>N14*(1+O35)</f>
        <v>20286543.572550163</v>
      </c>
      <c r="P14" s="6"/>
      <c r="Q14" s="6"/>
      <c r="R14" s="6"/>
      <c r="S14" s="6"/>
    </row>
    <row r="15" spans="1:19" x14ac:dyDescent="0.2">
      <c r="A15" s="6"/>
      <c r="B15" s="6" t="s">
        <v>131</v>
      </c>
      <c r="C15" s="6"/>
      <c r="D15" s="6"/>
      <c r="E15" s="6"/>
      <c r="F15" s="29">
        <v>4443879</v>
      </c>
      <c r="G15" s="29">
        <v>4943553</v>
      </c>
      <c r="H15" s="29">
        <v>5840052</v>
      </c>
      <c r="I15" s="29">
        <v>6572533</v>
      </c>
      <c r="J15" s="30">
        <v>7285557</v>
      </c>
      <c r="K15" s="31">
        <f>K14*K36</f>
        <v>7877575.9020000007</v>
      </c>
      <c r="L15" s="31">
        <f>L14*L36</f>
        <v>9136370.3298401255</v>
      </c>
      <c r="M15" s="31">
        <f>M14*M36</f>
        <v>10664371.770516217</v>
      </c>
      <c r="N15" s="31">
        <f>N14*N36</f>
        <v>12527374.129202988</v>
      </c>
      <c r="O15" s="31">
        <f>O14*O36</f>
        <v>14809176.807961622</v>
      </c>
      <c r="P15" s="6"/>
      <c r="Q15" s="6"/>
      <c r="R15" s="6"/>
      <c r="S15" s="6"/>
    </row>
    <row r="16" spans="1:19" x14ac:dyDescent="0.2">
      <c r="A16" s="6"/>
      <c r="B16" s="32" t="s">
        <v>132</v>
      </c>
      <c r="C16" s="25"/>
      <c r="D16" s="25"/>
      <c r="E16" s="25"/>
      <c r="F16" s="33">
        <f>F14-F15</f>
        <v>1142490</v>
      </c>
      <c r="G16" s="33">
        <f t="shared" ref="G16:O16" si="1">G14-G15</f>
        <v>1041081</v>
      </c>
      <c r="H16" s="33">
        <f t="shared" si="1"/>
        <v>1707009</v>
      </c>
      <c r="I16" s="33">
        <f t="shared" si="1"/>
        <v>2062119</v>
      </c>
      <c r="J16" s="34">
        <f t="shared" si="1"/>
        <v>2586092</v>
      </c>
      <c r="K16" s="35">
        <f t="shared" si="1"/>
        <v>3376103.9580000006</v>
      </c>
      <c r="L16" s="35">
        <f t="shared" si="1"/>
        <v>3777227.3095098753</v>
      </c>
      <c r="M16" s="35">
        <f t="shared" si="1"/>
        <v>4250833.5029330347</v>
      </c>
      <c r="N16" s="35">
        <f t="shared" si="1"/>
        <v>4811552.0011817664</v>
      </c>
      <c r="O16" s="35">
        <f t="shared" si="1"/>
        <v>5477366.7645885404</v>
      </c>
      <c r="P16" s="6"/>
      <c r="Q16" s="6"/>
      <c r="R16" s="6"/>
      <c r="S16" s="6"/>
    </row>
    <row r="17" spans="1:19" x14ac:dyDescent="0.2">
      <c r="A17" s="6"/>
      <c r="B17" s="36" t="s">
        <v>133</v>
      </c>
      <c r="C17" s="6"/>
      <c r="D17" s="6"/>
      <c r="E17" s="6"/>
      <c r="F17" s="37">
        <v>451552</v>
      </c>
      <c r="G17" s="37">
        <v>466291</v>
      </c>
      <c r="H17" s="37">
        <v>606854</v>
      </c>
      <c r="I17" s="37">
        <v>564191</v>
      </c>
      <c r="J17" s="38">
        <v>633584</v>
      </c>
      <c r="K17" s="39">
        <f>K14*K37</f>
        <v>708981.8311800001</v>
      </c>
      <c r="L17" s="39">
        <f>L14*L37</f>
        <v>868439.44124628766</v>
      </c>
      <c r="M17" s="39">
        <f>M14*M37</f>
        <v>1066437.1770516215</v>
      </c>
      <c r="N17" s="39">
        <f>N14*N37</f>
        <v>1313423.6543766453</v>
      </c>
      <c r="O17" s="39">
        <f>O14*O37</f>
        <v>1622923.4858040134</v>
      </c>
      <c r="P17" s="6"/>
      <c r="Q17" s="6"/>
      <c r="R17" s="6"/>
      <c r="S17" s="6"/>
    </row>
    <row r="18" spans="1:19" x14ac:dyDescent="0.2">
      <c r="A18" s="6"/>
      <c r="B18" s="6" t="s">
        <v>134</v>
      </c>
      <c r="C18" s="6"/>
      <c r="D18" s="6"/>
      <c r="E18" s="6"/>
      <c r="F18" s="37">
        <v>11108</v>
      </c>
      <c r="G18" s="37">
        <v>15515</v>
      </c>
      <c r="H18" s="37">
        <v>21264</v>
      </c>
      <c r="I18" s="37">
        <v>29560</v>
      </c>
      <c r="J18" s="38">
        <v>36931</v>
      </c>
      <c r="K18" s="39">
        <f>K40*K14</f>
        <v>45014.719440000008</v>
      </c>
      <c r="L18" s="39">
        <f>L40*L14</f>
        <v>200160.76340992501</v>
      </c>
      <c r="M18" s="39">
        <f>M40*M14</f>
        <v>402710.54238312977</v>
      </c>
      <c r="N18" s="39">
        <f>N40*N14</f>
        <v>667548.65601981303</v>
      </c>
      <c r="O18" s="39">
        <f>O40*O14</f>
        <v>1014327.1786275082</v>
      </c>
      <c r="P18" s="6"/>
      <c r="Q18" s="6"/>
      <c r="R18" s="6"/>
      <c r="S18" s="6"/>
    </row>
    <row r="19" spans="1:19" x14ac:dyDescent="0.2">
      <c r="A19" s="6"/>
      <c r="B19" s="36" t="s">
        <v>135</v>
      </c>
      <c r="C19" s="6"/>
      <c r="D19" s="6"/>
      <c r="E19" s="6"/>
      <c r="F19" s="37">
        <v>23094</v>
      </c>
      <c r="G19" s="37">
        <v>30577</v>
      </c>
      <c r="H19" s="37">
        <v>19291</v>
      </c>
      <c r="I19" s="37">
        <v>21139</v>
      </c>
      <c r="J19" s="38" t="s">
        <v>95</v>
      </c>
      <c r="K19" s="39">
        <f>K41*K14</f>
        <v>22507.359720000004</v>
      </c>
      <c r="L19" s="39">
        <f>L41*L14</f>
        <v>25827.195278700001</v>
      </c>
      <c r="M19" s="39">
        <f>M41*M14</f>
        <v>29830.410546898504</v>
      </c>
      <c r="N19" s="39">
        <f>N41*N14</f>
        <v>34677.852260769512</v>
      </c>
      <c r="O19" s="39">
        <f>O41*O14</f>
        <v>40573.087145100326</v>
      </c>
      <c r="P19" s="6"/>
      <c r="Q19" s="6"/>
      <c r="R19" s="6"/>
      <c r="S19" s="6"/>
    </row>
    <row r="20" spans="1:19" x14ac:dyDescent="0.2">
      <c r="A20" s="6"/>
      <c r="B20" s="6" t="s">
        <v>136</v>
      </c>
      <c r="C20" s="6"/>
      <c r="D20" s="6"/>
      <c r="E20" s="6"/>
      <c r="F20" s="40">
        <f t="shared" ref="F20:O20" si="2">SUM(F17:F19)</f>
        <v>485754</v>
      </c>
      <c r="G20" s="40">
        <f t="shared" si="2"/>
        <v>512383</v>
      </c>
      <c r="H20" s="40">
        <f t="shared" si="2"/>
        <v>647409</v>
      </c>
      <c r="I20" s="40">
        <f t="shared" si="2"/>
        <v>614890</v>
      </c>
      <c r="J20" s="41">
        <f t="shared" si="2"/>
        <v>670515</v>
      </c>
      <c r="K20" s="39">
        <f t="shared" si="2"/>
        <v>776503.91034000006</v>
      </c>
      <c r="L20" s="39">
        <f t="shared" si="2"/>
        <v>1094427.3999349126</v>
      </c>
      <c r="M20" s="39">
        <f t="shared" si="2"/>
        <v>1498978.1299816498</v>
      </c>
      <c r="N20" s="39">
        <f t="shared" si="2"/>
        <v>2015650.1626572281</v>
      </c>
      <c r="O20" s="39">
        <f t="shared" si="2"/>
        <v>2677823.751576622</v>
      </c>
      <c r="P20" s="6"/>
      <c r="Q20" s="6"/>
      <c r="R20" s="6"/>
      <c r="S20" s="6"/>
    </row>
    <row r="21" spans="1:19" x14ac:dyDescent="0.2">
      <c r="A21" s="6"/>
      <c r="B21" s="32" t="s">
        <v>137</v>
      </c>
      <c r="C21" s="32"/>
      <c r="D21" s="32"/>
      <c r="E21" s="32"/>
      <c r="F21" s="33">
        <f t="shared" ref="F21:O21" si="3">F16-F20</f>
        <v>656736</v>
      </c>
      <c r="G21" s="33">
        <f t="shared" si="3"/>
        <v>528698</v>
      </c>
      <c r="H21" s="33">
        <f t="shared" si="3"/>
        <v>1059600</v>
      </c>
      <c r="I21" s="33">
        <f t="shared" si="3"/>
        <v>1447229</v>
      </c>
      <c r="J21" s="34">
        <f t="shared" si="3"/>
        <v>1915577</v>
      </c>
      <c r="K21" s="35">
        <f t="shared" si="3"/>
        <v>2599600.0476600006</v>
      </c>
      <c r="L21" s="35">
        <f t="shared" si="3"/>
        <v>2682799.9095749627</v>
      </c>
      <c r="M21" s="35">
        <f t="shared" si="3"/>
        <v>2751855.3729513846</v>
      </c>
      <c r="N21" s="35">
        <f t="shared" si="3"/>
        <v>2795901.8385245381</v>
      </c>
      <c r="O21" s="35">
        <f t="shared" si="3"/>
        <v>2799543.0130119184</v>
      </c>
      <c r="P21" s="6"/>
      <c r="Q21" s="6"/>
      <c r="R21" s="6"/>
      <c r="S21" s="6"/>
    </row>
    <row r="22" spans="1:19" x14ac:dyDescent="0.2">
      <c r="A22" s="6"/>
      <c r="B22" s="6" t="s">
        <v>138</v>
      </c>
      <c r="C22" s="42">
        <v>0.25</v>
      </c>
      <c r="D22" s="42"/>
      <c r="E22" s="6"/>
      <c r="F22" s="43">
        <f>$C$22*F21</f>
        <v>164184</v>
      </c>
      <c r="G22" s="43">
        <f t="shared" ref="G22:O22" si="4">$C$22*G21</f>
        <v>132174.5</v>
      </c>
      <c r="H22" s="43">
        <f t="shared" si="4"/>
        <v>264900</v>
      </c>
      <c r="I22" s="43">
        <f t="shared" si="4"/>
        <v>361807.25</v>
      </c>
      <c r="J22" s="44">
        <f t="shared" si="4"/>
        <v>478894.25</v>
      </c>
      <c r="K22" s="31">
        <f t="shared" si="4"/>
        <v>649900.01191500016</v>
      </c>
      <c r="L22" s="31">
        <f t="shared" si="4"/>
        <v>670699.97739374067</v>
      </c>
      <c r="M22" s="31">
        <f t="shared" si="4"/>
        <v>687963.84323784616</v>
      </c>
      <c r="N22" s="31">
        <f t="shared" si="4"/>
        <v>698975.45963113452</v>
      </c>
      <c r="O22" s="31">
        <f t="shared" si="4"/>
        <v>699885.7532529796</v>
      </c>
      <c r="P22" s="6"/>
      <c r="Q22" s="6"/>
      <c r="R22" s="6"/>
      <c r="S22" s="6"/>
    </row>
    <row r="23" spans="1:19" x14ac:dyDescent="0.2">
      <c r="A23" s="6"/>
      <c r="B23" s="32" t="s">
        <v>139</v>
      </c>
      <c r="C23" s="32"/>
      <c r="D23" s="32"/>
      <c r="E23" s="32"/>
      <c r="F23" s="33">
        <f>F21-F22</f>
        <v>492552</v>
      </c>
      <c r="G23" s="33">
        <f t="shared" ref="G23:O23" si="5">G21-G22</f>
        <v>396523.5</v>
      </c>
      <c r="H23" s="33">
        <f t="shared" si="5"/>
        <v>794700</v>
      </c>
      <c r="I23" s="33">
        <f t="shared" si="5"/>
        <v>1085421.75</v>
      </c>
      <c r="J23" s="33">
        <f t="shared" si="5"/>
        <v>1436682.75</v>
      </c>
      <c r="K23" s="45">
        <f t="shared" si="5"/>
        <v>1949700.0357450005</v>
      </c>
      <c r="L23" s="35">
        <f t="shared" si="5"/>
        <v>2012099.9321812219</v>
      </c>
      <c r="M23" s="35">
        <f t="shared" si="5"/>
        <v>2063891.5297135385</v>
      </c>
      <c r="N23" s="35">
        <f t="shared" si="5"/>
        <v>2096926.3788934036</v>
      </c>
      <c r="O23" s="35">
        <f t="shared" si="5"/>
        <v>2099657.259758939</v>
      </c>
      <c r="P23" s="6"/>
      <c r="Q23" s="6"/>
      <c r="R23" s="6"/>
      <c r="S23" s="6"/>
    </row>
    <row r="24" spans="1:19" x14ac:dyDescent="0.2">
      <c r="A24" s="6"/>
      <c r="B24" s="6"/>
      <c r="C24" s="6"/>
      <c r="D24" s="6"/>
      <c r="E24" s="6"/>
      <c r="J24" s="46"/>
      <c r="P24" s="6"/>
      <c r="Q24" s="6"/>
      <c r="R24" s="6"/>
      <c r="S24" s="6"/>
    </row>
    <row r="25" spans="1:19" x14ac:dyDescent="0.2">
      <c r="A25" s="6"/>
      <c r="B25" s="47" t="s">
        <v>140</v>
      </c>
      <c r="C25" s="6"/>
      <c r="D25" s="6"/>
      <c r="E25" s="6"/>
      <c r="F25" s="37">
        <v>212778</v>
      </c>
      <c r="G25" s="37">
        <v>238534</v>
      </c>
      <c r="H25" s="37">
        <v>254657</v>
      </c>
      <c r="I25" s="37">
        <v>286826</v>
      </c>
      <c r="J25" s="38">
        <v>319394</v>
      </c>
      <c r="K25" s="39">
        <f>K38*K14</f>
        <v>371371.43538000004</v>
      </c>
      <c r="L25" s="39">
        <f t="shared" ref="L25:O25" si="6">L38*L14</f>
        <v>448747.51796741254</v>
      </c>
      <c r="M25" s="39">
        <f t="shared" si="6"/>
        <v>544404.99248089769</v>
      </c>
      <c r="N25" s="39">
        <f t="shared" si="6"/>
        <v>663213.92448721698</v>
      </c>
      <c r="O25" s="39">
        <f t="shared" si="6"/>
        <v>811461.74290200672</v>
      </c>
      <c r="P25" s="6"/>
      <c r="Q25" s="6"/>
      <c r="R25" s="6"/>
      <c r="S25" s="6"/>
    </row>
    <row r="26" spans="1:19" x14ac:dyDescent="0.2">
      <c r="A26" s="6"/>
      <c r="B26" s="48" t="s">
        <v>141</v>
      </c>
      <c r="C26" s="6"/>
      <c r="D26" s="6"/>
      <c r="E26" s="6"/>
      <c r="F26" s="49">
        <v>-333912</v>
      </c>
      <c r="G26" s="49">
        <v>-373352</v>
      </c>
      <c r="H26" s="49">
        <v>-442475</v>
      </c>
      <c r="I26" s="49">
        <v>-479164</v>
      </c>
      <c r="J26" s="49">
        <v>-560731</v>
      </c>
      <c r="K26" s="50">
        <f>K14*K39</f>
        <v>641459.75202000013</v>
      </c>
      <c r="L26" s="31">
        <f>L14*L39</f>
        <v>778044.25777083763</v>
      </c>
      <c r="M26" s="31">
        <f>M14*M39</f>
        <v>947115.53486402752</v>
      </c>
      <c r="N26" s="31">
        <f>N14*N39</f>
        <v>1157373.3192031824</v>
      </c>
      <c r="O26" s="31">
        <f>O14*O39</f>
        <v>1420058.0500785115</v>
      </c>
      <c r="P26" s="6"/>
      <c r="Q26" s="6"/>
      <c r="R26" s="6"/>
      <c r="S26" s="6"/>
    </row>
    <row r="27" spans="1:19" x14ac:dyDescent="0.2">
      <c r="A27" s="6"/>
      <c r="B27" s="6" t="s">
        <v>142</v>
      </c>
      <c r="C27" s="6"/>
      <c r="D27" s="6"/>
      <c r="E27" s="6"/>
      <c r="F27" s="51">
        <f>F75</f>
        <v>98124</v>
      </c>
      <c r="G27" s="51">
        <f t="shared" ref="G27:J28" si="7">G75</f>
        <v>194807</v>
      </c>
      <c r="H27" s="51">
        <f t="shared" si="7"/>
        <v>-88779</v>
      </c>
      <c r="I27" s="51">
        <f t="shared" si="7"/>
        <v>106205</v>
      </c>
      <c r="J27" s="51">
        <f>J75</f>
        <v>277553</v>
      </c>
      <c r="K27" s="52">
        <f>K75</f>
        <v>337610.3958</v>
      </c>
      <c r="L27" s="53">
        <f t="shared" ref="L27:O28" si="8">L75</f>
        <v>425773.66633649997</v>
      </c>
      <c r="M27" s="53">
        <f t="shared" si="8"/>
        <v>536081.01103383745</v>
      </c>
      <c r="N27" s="53">
        <f t="shared" si="8"/>
        <v>674707.37103448284</v>
      </c>
      <c r="O27" s="53">
        <f t="shared" si="8"/>
        <v>849678.06308829156</v>
      </c>
      <c r="P27" s="6"/>
      <c r="Q27" s="6"/>
      <c r="R27" s="6"/>
      <c r="S27" s="6"/>
    </row>
    <row r="28" spans="1:19" x14ac:dyDescent="0.2">
      <c r="A28" s="6"/>
      <c r="B28" s="14" t="s">
        <v>143</v>
      </c>
      <c r="C28" s="14"/>
      <c r="D28" s="14"/>
      <c r="E28" s="14"/>
      <c r="F28" s="54">
        <f>-F76</f>
        <v>0</v>
      </c>
      <c r="G28" s="54">
        <f>G76</f>
        <v>96683</v>
      </c>
      <c r="H28" s="54">
        <f t="shared" si="7"/>
        <v>-283586</v>
      </c>
      <c r="I28" s="54">
        <f t="shared" si="7"/>
        <v>194984</v>
      </c>
      <c r="J28" s="54">
        <f t="shared" si="7"/>
        <v>171348</v>
      </c>
      <c r="K28" s="55">
        <f>K76</f>
        <v>60057.395799999998</v>
      </c>
      <c r="L28" s="33">
        <f t="shared" si="8"/>
        <v>88163.270536499971</v>
      </c>
      <c r="M28" s="33">
        <f t="shared" si="8"/>
        <v>110307.34469733748</v>
      </c>
      <c r="N28" s="33">
        <f t="shared" si="8"/>
        <v>138626.36000064539</v>
      </c>
      <c r="O28" s="33">
        <f t="shared" si="8"/>
        <v>174970.69205380871</v>
      </c>
      <c r="P28" s="6"/>
      <c r="Q28" s="6"/>
      <c r="R28" s="6"/>
      <c r="S28" s="6"/>
    </row>
    <row r="29" spans="1:19" x14ac:dyDescent="0.2">
      <c r="A29" s="6"/>
      <c r="B29" s="6"/>
      <c r="C29" s="14"/>
      <c r="D29" s="14"/>
      <c r="E29" s="14"/>
      <c r="J29" s="46"/>
      <c r="P29" s="6"/>
      <c r="Q29" s="6"/>
      <c r="R29" s="6"/>
      <c r="S29" s="6"/>
    </row>
    <row r="30" spans="1:19" x14ac:dyDescent="0.2">
      <c r="A30" s="6"/>
      <c r="B30" s="32" t="s">
        <v>144</v>
      </c>
      <c r="C30" s="32"/>
      <c r="D30" s="32"/>
      <c r="E30" s="32"/>
      <c r="F30" s="56">
        <f>F23+F25+F26-F28</f>
        <v>371418</v>
      </c>
      <c r="G30" s="56">
        <f t="shared" ref="G30:N30" si="9">G23+G25+G26-G28</f>
        <v>165022.5</v>
      </c>
      <c r="H30" s="56">
        <f t="shared" si="9"/>
        <v>890468</v>
      </c>
      <c r="I30" s="56">
        <f t="shared" si="9"/>
        <v>698099.75</v>
      </c>
      <c r="J30" s="57">
        <f t="shared" si="9"/>
        <v>1023997.75</v>
      </c>
      <c r="K30" s="58">
        <f t="shared" si="9"/>
        <v>2902473.8273450006</v>
      </c>
      <c r="L30" s="58">
        <f t="shared" si="9"/>
        <v>3150728.4373829723</v>
      </c>
      <c r="M30" s="58">
        <f t="shared" si="9"/>
        <v>3445104.7123611262</v>
      </c>
      <c r="N30" s="58">
        <f t="shared" si="9"/>
        <v>3778887.2625831575</v>
      </c>
      <c r="O30" s="58">
        <f>O23+O25+O26-O28</f>
        <v>4156206.3606856484</v>
      </c>
      <c r="P30" s="6"/>
      <c r="Q30" s="6"/>
      <c r="R30" s="6"/>
      <c r="S30" s="6"/>
    </row>
    <row r="31" spans="1:19" x14ac:dyDescent="0.2">
      <c r="A31" s="6"/>
      <c r="B31" s="6"/>
      <c r="C31" s="6"/>
      <c r="D31" s="6"/>
      <c r="E31" s="6"/>
      <c r="F31" s="59"/>
      <c r="G31" s="6"/>
      <c r="H31" s="6"/>
      <c r="I31" s="6"/>
      <c r="J31" s="6"/>
      <c r="K31" s="6"/>
      <c r="L31" s="6"/>
      <c r="M31" s="6"/>
      <c r="N31" s="6"/>
      <c r="O31" s="6"/>
      <c r="P31" s="6"/>
      <c r="Q31" s="6"/>
      <c r="R31" s="6"/>
      <c r="S31" s="6"/>
    </row>
    <row r="32" spans="1:19" x14ac:dyDescent="0.2">
      <c r="A32" s="6"/>
      <c r="B32" s="6"/>
      <c r="C32" s="6"/>
      <c r="D32" s="6"/>
      <c r="E32" s="6"/>
      <c r="F32" s="18" t="s">
        <v>128</v>
      </c>
      <c r="G32" s="19"/>
      <c r="H32" s="19"/>
      <c r="I32" s="19"/>
      <c r="J32" s="20"/>
      <c r="K32" s="18" t="s">
        <v>129</v>
      </c>
      <c r="L32" s="19"/>
      <c r="M32" s="19"/>
      <c r="N32" s="19"/>
      <c r="O32" s="20"/>
      <c r="P32" s="6"/>
      <c r="Q32" s="6"/>
      <c r="R32" s="6"/>
      <c r="S32" s="6"/>
    </row>
    <row r="33" spans="1:19" x14ac:dyDescent="0.2">
      <c r="A33" s="6"/>
      <c r="B33" s="6"/>
      <c r="C33" s="6"/>
      <c r="D33" s="6"/>
      <c r="E33" s="6"/>
      <c r="F33" s="60">
        <f>F13</f>
        <v>2019</v>
      </c>
      <c r="G33" s="61">
        <f t="shared" ref="G33:O33" si="10">F33+1</f>
        <v>2020</v>
      </c>
      <c r="H33" s="61">
        <f t="shared" si="10"/>
        <v>2021</v>
      </c>
      <c r="I33" s="61">
        <f t="shared" si="10"/>
        <v>2022</v>
      </c>
      <c r="J33" s="62">
        <f t="shared" si="10"/>
        <v>2023</v>
      </c>
      <c r="K33" s="61">
        <f t="shared" si="10"/>
        <v>2024</v>
      </c>
      <c r="L33" s="61">
        <f t="shared" si="10"/>
        <v>2025</v>
      </c>
      <c r="M33" s="61">
        <f t="shared" si="10"/>
        <v>2026</v>
      </c>
      <c r="N33" s="61">
        <f t="shared" si="10"/>
        <v>2027</v>
      </c>
      <c r="O33" s="61">
        <f t="shared" si="10"/>
        <v>2028</v>
      </c>
      <c r="P33" s="6"/>
      <c r="Q33" s="6"/>
      <c r="R33" s="6"/>
      <c r="S33" s="6"/>
    </row>
    <row r="34" spans="1:19" x14ac:dyDescent="0.2">
      <c r="A34" s="6"/>
      <c r="B34" s="14" t="s">
        <v>145</v>
      </c>
      <c r="C34" s="14"/>
      <c r="D34" s="6"/>
      <c r="E34" s="14"/>
      <c r="J34" s="46"/>
      <c r="P34" s="6"/>
      <c r="Q34" s="14"/>
    </row>
    <row r="35" spans="1:19" x14ac:dyDescent="0.2">
      <c r="A35" s="6"/>
      <c r="B35" s="6" t="s">
        <v>146</v>
      </c>
      <c r="C35" s="6"/>
      <c r="D35" s="6"/>
      <c r="E35" s="6"/>
      <c r="F35" s="63"/>
      <c r="G35" s="63">
        <f>(G14/F14)-1</f>
        <v>7.1292283055415684E-2</v>
      </c>
      <c r="H35" s="63">
        <f>(H14/G14)-1</f>
        <v>0.26107310823017738</v>
      </c>
      <c r="I35" s="63">
        <f>(I14/H14)-1</f>
        <v>0.14410788517543449</v>
      </c>
      <c r="J35" s="64">
        <f>(J14/I14)-1</f>
        <v>0.14325962412845361</v>
      </c>
      <c r="K35" s="65">
        <v>0.14000000000000001</v>
      </c>
      <c r="L35" s="66">
        <f>K35+$R35</f>
        <v>0.14750000000000002</v>
      </c>
      <c r="M35" s="66">
        <f t="shared" ref="M35:O35" si="11">L35+$R35</f>
        <v>0.15500000000000003</v>
      </c>
      <c r="N35" s="66">
        <f t="shared" si="11"/>
        <v>0.16250000000000003</v>
      </c>
      <c r="O35" s="66">
        <f t="shared" si="11"/>
        <v>0.17000000000000004</v>
      </c>
      <c r="P35" s="171"/>
      <c r="Q35" s="172" t="s">
        <v>147</v>
      </c>
      <c r="R35" s="171">
        <f>(S35-K35)/($O$33-$K$33)</f>
        <v>7.4999999999999997E-3</v>
      </c>
      <c r="S35" s="124">
        <v>0.17</v>
      </c>
    </row>
    <row r="36" spans="1:19" x14ac:dyDescent="0.2">
      <c r="A36" s="6"/>
      <c r="B36" s="6" t="s">
        <v>148</v>
      </c>
      <c r="C36" s="6"/>
      <c r="D36" s="6"/>
      <c r="E36" s="6"/>
      <c r="F36" s="63">
        <f>F15/F14</f>
        <v>0.79548611987500284</v>
      </c>
      <c r="G36" s="63">
        <f>G15/G14</f>
        <v>0.82604099097789441</v>
      </c>
      <c r="H36" s="63">
        <f>H15/H14</f>
        <v>0.77381804652168573</v>
      </c>
      <c r="I36" s="63">
        <f>I15/I14</f>
        <v>0.76118099490286351</v>
      </c>
      <c r="J36" s="64">
        <f>J15/J14</f>
        <v>0.73802836790489612</v>
      </c>
      <c r="K36" s="65">
        <v>0.7</v>
      </c>
      <c r="L36" s="66">
        <f t="shared" ref="L36:O39" si="12">K36+$R36</f>
        <v>0.70750000000000002</v>
      </c>
      <c r="M36" s="66">
        <f t="shared" si="12"/>
        <v>0.71500000000000008</v>
      </c>
      <c r="N36" s="66">
        <f t="shared" si="12"/>
        <v>0.72250000000000014</v>
      </c>
      <c r="O36" s="66">
        <f t="shared" si="12"/>
        <v>0.7300000000000002</v>
      </c>
      <c r="P36" s="171"/>
      <c r="Q36" s="172" t="s">
        <v>147</v>
      </c>
      <c r="R36" s="171">
        <f t="shared" ref="R36:R41" si="13">(S36-K36)/($O$33-$K$33)</f>
        <v>7.5000000000000067E-3</v>
      </c>
      <c r="S36" s="124">
        <v>0.73</v>
      </c>
    </row>
    <row r="37" spans="1:19" x14ac:dyDescent="0.2">
      <c r="A37" s="6"/>
      <c r="B37" s="6" t="s">
        <v>149</v>
      </c>
      <c r="C37" s="6"/>
      <c r="D37" s="6"/>
      <c r="E37" s="6"/>
      <c r="F37" s="63">
        <f>F17/F14</f>
        <v>8.0831037119101876E-2</v>
      </c>
      <c r="G37" s="63">
        <f>G17/G14</f>
        <v>7.7914706229319952E-2</v>
      </c>
      <c r="H37" s="63">
        <f>H17/H14</f>
        <v>8.0409314301288934E-2</v>
      </c>
      <c r="I37" s="63">
        <f>I17/I14</f>
        <v>6.5340328712726353E-2</v>
      </c>
      <c r="J37" s="64">
        <f>J17/J14</f>
        <v>6.4182184759608046E-2</v>
      </c>
      <c r="K37" s="65">
        <v>6.3E-2</v>
      </c>
      <c r="L37" s="66">
        <f t="shared" si="12"/>
        <v>6.7250000000000004E-2</v>
      </c>
      <c r="M37" s="66">
        <f t="shared" si="12"/>
        <v>7.1500000000000008E-2</v>
      </c>
      <c r="N37" s="66">
        <f t="shared" si="12"/>
        <v>7.5750000000000012E-2</v>
      </c>
      <c r="O37" s="66">
        <f t="shared" si="12"/>
        <v>8.0000000000000016E-2</v>
      </c>
      <c r="P37" s="171"/>
      <c r="Q37" s="172" t="s">
        <v>147</v>
      </c>
      <c r="R37" s="171">
        <f t="shared" si="13"/>
        <v>4.2500000000000003E-3</v>
      </c>
      <c r="S37" s="124">
        <v>0.08</v>
      </c>
    </row>
    <row r="38" spans="1:19" x14ac:dyDescent="0.2">
      <c r="A38" s="6"/>
      <c r="B38" s="6" t="s">
        <v>150</v>
      </c>
      <c r="C38" s="6"/>
      <c r="D38" s="6"/>
      <c r="E38" s="6"/>
      <c r="F38" s="67">
        <f>F25/F14</f>
        <v>3.8088783608816387E-2</v>
      </c>
      <c r="G38" s="67">
        <f>G25/G14</f>
        <v>3.9857742344811729E-2</v>
      </c>
      <c r="H38" s="67">
        <f>H25/H14</f>
        <v>3.3742538983055785E-2</v>
      </c>
      <c r="I38" s="67">
        <f>I25/I14</f>
        <v>3.3218015039864955E-2</v>
      </c>
      <c r="J38" s="68">
        <f>J25/J14</f>
        <v>3.2354675495451672E-2</v>
      </c>
      <c r="K38" s="65">
        <v>3.3000000000000002E-2</v>
      </c>
      <c r="L38" s="69">
        <f t="shared" si="12"/>
        <v>3.4750000000000003E-2</v>
      </c>
      <c r="M38" s="69">
        <f t="shared" si="12"/>
        <v>3.6500000000000005E-2</v>
      </c>
      <c r="N38" s="69">
        <f t="shared" si="12"/>
        <v>3.8250000000000006E-2</v>
      </c>
      <c r="O38" s="69">
        <f t="shared" si="12"/>
        <v>4.0000000000000008E-2</v>
      </c>
      <c r="P38" s="171"/>
      <c r="Q38" s="107" t="s">
        <v>147</v>
      </c>
      <c r="R38" s="171">
        <f t="shared" si="13"/>
        <v>1.7499999999999998E-3</v>
      </c>
      <c r="S38" s="124">
        <v>0.04</v>
      </c>
    </row>
    <row r="39" spans="1:19" x14ac:dyDescent="0.2">
      <c r="A39" s="6"/>
      <c r="B39" s="6" t="s">
        <v>151</v>
      </c>
      <c r="C39" s="6"/>
      <c r="D39" s="6"/>
      <c r="E39" s="6"/>
      <c r="F39" s="63">
        <f>-1*(F26/F14)</f>
        <v>5.9772635857029854E-2</v>
      </c>
      <c r="G39" s="63">
        <f>-1*(G26/G14)</f>
        <v>6.2385101578475807E-2</v>
      </c>
      <c r="H39" s="63">
        <f>-1*(H26/H14)</f>
        <v>5.8628782780475737E-2</v>
      </c>
      <c r="I39" s="63">
        <f>-1*(I26/I14)</f>
        <v>5.549314552572588E-2</v>
      </c>
      <c r="J39" s="64">
        <f>-1*(J26/J14)</f>
        <v>5.6802161422068391E-2</v>
      </c>
      <c r="K39" s="65">
        <v>5.7000000000000002E-2</v>
      </c>
      <c r="L39" s="66">
        <f t="shared" si="12"/>
        <v>6.0250000000000005E-2</v>
      </c>
      <c r="M39" s="66">
        <f t="shared" si="12"/>
        <v>6.3500000000000001E-2</v>
      </c>
      <c r="N39" s="66">
        <f t="shared" si="12"/>
        <v>6.6750000000000004E-2</v>
      </c>
      <c r="O39" s="66">
        <f t="shared" si="12"/>
        <v>7.0000000000000007E-2</v>
      </c>
      <c r="P39" s="171"/>
      <c r="Q39" s="172" t="s">
        <v>147</v>
      </c>
      <c r="R39" s="171">
        <f t="shared" si="13"/>
        <v>3.2500000000000012E-3</v>
      </c>
      <c r="S39" s="124">
        <v>7.0000000000000007E-2</v>
      </c>
    </row>
    <row r="40" spans="1:19" x14ac:dyDescent="0.2">
      <c r="A40" s="6"/>
      <c r="B40" s="6" t="s">
        <v>152</v>
      </c>
      <c r="C40" s="6"/>
      <c r="D40" s="6"/>
      <c r="E40" s="6"/>
      <c r="F40" s="63">
        <f>F18/F14</f>
        <v>1.9884114350484186E-3</v>
      </c>
      <c r="G40" s="63">
        <f>G18/G14</f>
        <v>2.5924726558048494E-3</v>
      </c>
      <c r="H40" s="63">
        <f>H18/H14</f>
        <v>2.817520621603562E-3</v>
      </c>
      <c r="I40" s="63">
        <f>I18/I14</f>
        <v>3.4234153269871214E-3</v>
      </c>
      <c r="J40" s="64">
        <f>J18/J14</f>
        <v>3.7411176187483975E-3</v>
      </c>
      <c r="K40" s="65">
        <v>4.0000000000000001E-3</v>
      </c>
      <c r="L40" s="66">
        <f>K40+$R40</f>
        <v>1.55E-2</v>
      </c>
      <c r="M40" s="66">
        <f>L40+$R40</f>
        <v>2.7E-2</v>
      </c>
      <c r="N40" s="66">
        <f>M40+$R40</f>
        <v>3.85E-2</v>
      </c>
      <c r="O40" s="66">
        <f>N40+$R40</f>
        <v>0.05</v>
      </c>
      <c r="P40" s="171"/>
      <c r="Q40" s="172" t="s">
        <v>147</v>
      </c>
      <c r="R40" s="171">
        <f>(S40-K40)/($O$33-$K$33)</f>
        <v>1.15E-2</v>
      </c>
      <c r="S40" s="124">
        <v>0.05</v>
      </c>
    </row>
    <row r="41" spans="1:19" x14ac:dyDescent="0.2">
      <c r="A41" s="6"/>
      <c r="B41" s="36" t="s">
        <v>153</v>
      </c>
      <c r="C41" s="6"/>
      <c r="D41" s="6"/>
      <c r="E41" s="6"/>
      <c r="F41" s="63">
        <f>IF(F19/F14 = 0, 0, F19/F14)</f>
        <v>4.1339911488124043E-3</v>
      </c>
      <c r="G41" s="63">
        <f>IF(G19/G14 = 0, 0, G19/G14)</f>
        <v>5.1092514596548424E-3</v>
      </c>
      <c r="H41" s="63">
        <f>IF(H19/H14 = 0, 0, H19/H14)</f>
        <v>2.5560943524903269E-3</v>
      </c>
      <c r="I41" s="63">
        <f>IF(I19/I14 = 0, 0, I19/I14)</f>
        <v>2.4481588835311486E-3</v>
      </c>
      <c r="J41" s="70">
        <v>0</v>
      </c>
      <c r="K41" s="65">
        <v>2E-3</v>
      </c>
      <c r="L41" s="66">
        <f t="shared" ref="L41:O41" si="14">K41+$R41</f>
        <v>2E-3</v>
      </c>
      <c r="M41" s="66">
        <f t="shared" si="14"/>
        <v>2E-3</v>
      </c>
      <c r="N41" s="66">
        <f t="shared" si="14"/>
        <v>2E-3</v>
      </c>
      <c r="O41" s="66">
        <f t="shared" si="14"/>
        <v>2E-3</v>
      </c>
      <c r="P41" s="171"/>
      <c r="Q41" s="172" t="s">
        <v>147</v>
      </c>
      <c r="R41" s="171">
        <f t="shared" si="13"/>
        <v>0</v>
      </c>
      <c r="S41" s="173">
        <v>2E-3</v>
      </c>
    </row>
    <row r="42" spans="1:19" x14ac:dyDescent="0.2">
      <c r="A42" s="6"/>
      <c r="B42" s="6" t="s">
        <v>154</v>
      </c>
      <c r="C42" s="6"/>
      <c r="D42" s="6"/>
      <c r="E42" s="6"/>
      <c r="F42" s="63">
        <f t="shared" ref="F42:O42" si="15">F16/F14</f>
        <v>0.20451388012499711</v>
      </c>
      <c r="G42" s="63">
        <f t="shared" si="15"/>
        <v>0.17395900902210562</v>
      </c>
      <c r="H42" s="63">
        <f t="shared" si="15"/>
        <v>0.22618195347831427</v>
      </c>
      <c r="I42" s="63">
        <f t="shared" si="15"/>
        <v>0.23881900509713652</v>
      </c>
      <c r="J42" s="64">
        <f t="shared" si="15"/>
        <v>0.26197163209510388</v>
      </c>
      <c r="K42" s="71">
        <f t="shared" si="15"/>
        <v>0.3</v>
      </c>
      <c r="L42" s="71">
        <f t="shared" si="15"/>
        <v>0.29249999999999998</v>
      </c>
      <c r="M42" s="71">
        <f t="shared" si="15"/>
        <v>0.28499999999999986</v>
      </c>
      <c r="N42" s="71">
        <f t="shared" si="15"/>
        <v>0.2774999999999998</v>
      </c>
      <c r="O42" s="71">
        <f t="shared" si="15"/>
        <v>0.26999999999999985</v>
      </c>
      <c r="P42" s="171"/>
      <c r="Q42" s="172"/>
      <c r="R42" s="171"/>
      <c r="S42" s="174"/>
    </row>
    <row r="43" spans="1:19" x14ac:dyDescent="0.2">
      <c r="A43" s="6"/>
      <c r="B43" s="6"/>
      <c r="C43" s="6"/>
      <c r="D43" s="6"/>
      <c r="E43" s="6"/>
      <c r="F43" s="6"/>
      <c r="G43" s="6"/>
      <c r="H43" s="6"/>
      <c r="I43" s="6"/>
      <c r="J43" s="6"/>
      <c r="K43" s="6"/>
      <c r="L43" s="6"/>
      <c r="M43" s="6"/>
      <c r="N43" s="6"/>
      <c r="O43" s="6"/>
      <c r="P43" s="6"/>
      <c r="Q43" s="6"/>
      <c r="R43" s="6"/>
      <c r="S43" s="6"/>
    </row>
    <row r="44" spans="1:19" x14ac:dyDescent="0.2">
      <c r="A44" s="6"/>
      <c r="B44" s="6"/>
      <c r="C44" s="6"/>
      <c r="D44" s="6"/>
      <c r="E44" s="6"/>
      <c r="P44" s="6"/>
      <c r="Q44" s="6"/>
      <c r="R44" s="6"/>
      <c r="S44" s="6"/>
    </row>
    <row r="45" spans="1:19" x14ac:dyDescent="0.2">
      <c r="A45" s="6" t="s">
        <v>104</v>
      </c>
      <c r="B45" s="16" t="s">
        <v>155</v>
      </c>
      <c r="C45" s="17"/>
      <c r="D45" s="16"/>
      <c r="E45" s="16"/>
      <c r="F45" s="17"/>
      <c r="G45" s="17"/>
      <c r="H45" s="17"/>
      <c r="I45" s="17"/>
      <c r="J45" s="17"/>
      <c r="K45" s="17"/>
      <c r="L45" s="17"/>
      <c r="M45" s="17"/>
      <c r="N45" s="17"/>
      <c r="O45" s="17"/>
      <c r="P45" s="6"/>
      <c r="Q45" s="6"/>
      <c r="R45" s="6"/>
      <c r="S45" s="6"/>
    </row>
    <row r="46" spans="1:19" x14ac:dyDescent="0.2">
      <c r="A46" s="6"/>
      <c r="B46" s="6"/>
      <c r="C46" s="6"/>
      <c r="D46" s="6"/>
      <c r="E46" s="6"/>
      <c r="F46" s="6"/>
      <c r="G46" s="6"/>
      <c r="H46" s="6"/>
      <c r="I46" s="6"/>
      <c r="J46" s="6"/>
      <c r="K46" s="6"/>
      <c r="L46" s="6"/>
      <c r="M46" s="6"/>
      <c r="N46" s="6"/>
      <c r="O46" s="6"/>
      <c r="P46" s="6"/>
      <c r="Q46" s="6"/>
      <c r="R46" s="6"/>
      <c r="S46" s="6"/>
    </row>
    <row r="47" spans="1:19" x14ac:dyDescent="0.2">
      <c r="A47" s="6"/>
      <c r="B47" s="6"/>
      <c r="C47" s="6"/>
      <c r="D47" s="6"/>
      <c r="E47" s="6"/>
      <c r="F47" s="72" t="s">
        <v>156</v>
      </c>
      <c r="G47" s="25"/>
      <c r="H47" s="73"/>
      <c r="J47" s="6"/>
      <c r="K47" s="72" t="s">
        <v>157</v>
      </c>
      <c r="L47" s="25"/>
      <c r="M47" s="25"/>
      <c r="N47" s="73"/>
      <c r="O47" s="6"/>
      <c r="P47" s="72" t="s">
        <v>158</v>
      </c>
      <c r="Q47" s="25"/>
      <c r="R47" s="25"/>
      <c r="S47" s="73"/>
    </row>
    <row r="48" spans="1:19" x14ac:dyDescent="0.2">
      <c r="A48" s="6"/>
      <c r="B48" s="6"/>
      <c r="C48" s="6"/>
      <c r="D48" s="6"/>
      <c r="E48" s="6"/>
      <c r="F48" s="9" t="s">
        <v>159</v>
      </c>
      <c r="G48" s="6"/>
      <c r="H48" s="74"/>
      <c r="J48" s="6"/>
      <c r="K48" s="9"/>
      <c r="L48" s="6"/>
      <c r="M48" s="6"/>
      <c r="N48" s="75"/>
      <c r="O48" s="6"/>
      <c r="P48" s="9"/>
      <c r="Q48" s="6"/>
      <c r="R48" s="6"/>
      <c r="S48" s="85"/>
    </row>
    <row r="49" spans="1:19" x14ac:dyDescent="0.2">
      <c r="A49" s="6"/>
      <c r="B49" s="6"/>
      <c r="C49" s="6"/>
      <c r="D49" s="6"/>
      <c r="E49" s="6"/>
      <c r="F49" s="9" t="s">
        <v>160</v>
      </c>
      <c r="G49" s="6"/>
      <c r="H49" s="76">
        <f>O30</f>
        <v>4156206.3606856484</v>
      </c>
      <c r="J49" s="6"/>
      <c r="K49" s="9" t="s">
        <v>161</v>
      </c>
      <c r="L49" s="6"/>
      <c r="M49" s="6"/>
      <c r="N49" s="77">
        <f>O21+O25</f>
        <v>3611004.7559139254</v>
      </c>
      <c r="O49" s="6"/>
      <c r="P49" s="9" t="s">
        <v>162</v>
      </c>
      <c r="Q49" s="6"/>
      <c r="R49" s="6"/>
      <c r="S49" s="92">
        <f>H58</f>
        <v>36626198.19341442</v>
      </c>
    </row>
    <row r="50" spans="1:19" x14ac:dyDescent="0.2">
      <c r="A50" s="6"/>
      <c r="B50" s="6"/>
      <c r="C50" s="6"/>
      <c r="D50" s="6"/>
      <c r="E50" s="6"/>
      <c r="F50" s="9" t="s">
        <v>163</v>
      </c>
      <c r="G50" s="6"/>
      <c r="H50" s="78">
        <v>0.04</v>
      </c>
      <c r="J50" s="6"/>
      <c r="K50" s="9" t="s">
        <v>164</v>
      </c>
      <c r="L50" s="6"/>
      <c r="M50" s="6"/>
      <c r="N50" s="79">
        <v>16.600000000000001</v>
      </c>
      <c r="O50" s="6"/>
      <c r="P50" s="9" t="s">
        <v>165</v>
      </c>
      <c r="Q50" s="6"/>
      <c r="R50" s="6"/>
      <c r="S50" s="175">
        <f>I168</f>
        <v>37483</v>
      </c>
    </row>
    <row r="51" spans="1:19" x14ac:dyDescent="0.2">
      <c r="A51" s="6"/>
      <c r="B51" s="6"/>
      <c r="C51" s="6"/>
      <c r="D51" s="6"/>
      <c r="E51" s="6"/>
      <c r="F51" s="9" t="s">
        <v>166</v>
      </c>
      <c r="G51" s="6"/>
      <c r="H51" s="80">
        <f>(H49*(1+H50))/(H52-H50)</f>
        <v>51432161.331741244</v>
      </c>
      <c r="J51" s="6"/>
      <c r="K51" s="9" t="s">
        <v>166</v>
      </c>
      <c r="L51" s="6"/>
      <c r="M51" s="6"/>
      <c r="N51" s="77">
        <f>N50*N49</f>
        <v>59942678.948171169</v>
      </c>
      <c r="O51" s="176"/>
      <c r="P51" s="9" t="s">
        <v>167</v>
      </c>
      <c r="Q51" s="6"/>
      <c r="R51" s="6"/>
      <c r="S51" s="177">
        <v>0</v>
      </c>
    </row>
    <row r="52" spans="1:19" x14ac:dyDescent="0.2">
      <c r="A52" s="6"/>
      <c r="B52" s="6"/>
      <c r="C52" s="6"/>
      <c r="D52" s="6"/>
      <c r="E52" s="6"/>
      <c r="F52" s="9" t="s">
        <v>168</v>
      </c>
      <c r="G52" s="6"/>
      <c r="H52" s="81">
        <f>F105</f>
        <v>0.12404186219655292</v>
      </c>
      <c r="J52" s="6"/>
      <c r="K52" s="9" t="s">
        <v>168</v>
      </c>
      <c r="L52" s="6"/>
      <c r="M52" s="6"/>
      <c r="N52" s="81">
        <f>H52</f>
        <v>0.12404186219655292</v>
      </c>
      <c r="O52" s="176"/>
      <c r="P52" s="11" t="s">
        <v>169</v>
      </c>
      <c r="Q52" s="95"/>
      <c r="R52" s="95"/>
      <c r="S52" s="178">
        <f>(S49-S51)/(S50+I175)</f>
        <v>975.5799534777301</v>
      </c>
    </row>
    <row r="53" spans="1:19" x14ac:dyDescent="0.2">
      <c r="A53" s="6"/>
      <c r="B53" s="6"/>
      <c r="C53" s="6"/>
      <c r="D53" s="6"/>
      <c r="E53" s="6"/>
      <c r="F53" s="82" t="s">
        <v>170</v>
      </c>
      <c r="G53" s="14"/>
      <c r="H53" s="83">
        <f>H51/(1+H52)^(O13-J13)</f>
        <v>28663046.364681665</v>
      </c>
      <c r="J53" s="6"/>
      <c r="K53" s="82" t="s">
        <v>170</v>
      </c>
      <c r="L53" s="14"/>
      <c r="M53" s="14"/>
      <c r="N53" s="84">
        <f>N51/(1+N52)^(O13-J13)</f>
        <v>33405941.757581003</v>
      </c>
      <c r="O53" s="6"/>
      <c r="P53" s="6"/>
      <c r="Q53" s="6"/>
      <c r="R53" s="6"/>
      <c r="S53" s="6"/>
    </row>
    <row r="54" spans="1:19" x14ac:dyDescent="0.2">
      <c r="A54" s="6"/>
      <c r="B54" s="6"/>
      <c r="C54" s="6"/>
      <c r="D54" s="6"/>
      <c r="E54" s="6"/>
      <c r="F54" s="9"/>
      <c r="G54" s="6"/>
      <c r="H54" s="85"/>
      <c r="J54" s="6"/>
      <c r="K54" s="9"/>
      <c r="L54" s="6"/>
      <c r="M54" s="6"/>
      <c r="N54" s="46"/>
      <c r="O54" s="6"/>
      <c r="P54" s="72" t="s">
        <v>171</v>
      </c>
      <c r="Q54" s="25"/>
      <c r="R54" s="25"/>
      <c r="S54" s="73"/>
    </row>
    <row r="55" spans="1:19" x14ac:dyDescent="0.2">
      <c r="A55" s="6"/>
      <c r="B55" s="6"/>
      <c r="C55" s="6"/>
      <c r="D55" s="6"/>
      <c r="E55" s="6"/>
      <c r="F55" s="82" t="s">
        <v>172</v>
      </c>
      <c r="G55" s="14"/>
      <c r="H55" s="86">
        <f>NPV(H52, K30:O30)</f>
        <v>12185126.828732757</v>
      </c>
      <c r="J55" s="6"/>
      <c r="K55" s="82" t="s">
        <v>173</v>
      </c>
      <c r="L55" s="6"/>
      <c r="M55" s="6"/>
      <c r="N55" s="87">
        <f>H55</f>
        <v>12185126.828732757</v>
      </c>
      <c r="O55" s="6"/>
      <c r="P55" s="9" t="s">
        <v>53</v>
      </c>
      <c r="Q55" s="6"/>
      <c r="R55" s="6"/>
      <c r="S55" s="77">
        <f>(H58+N58)/2</f>
        <v>38997645.889864087</v>
      </c>
    </row>
    <row r="56" spans="1:19" x14ac:dyDescent="0.2">
      <c r="A56" s="6"/>
      <c r="B56" s="6"/>
      <c r="C56" s="6"/>
      <c r="D56" s="6"/>
      <c r="E56" s="6"/>
      <c r="F56" s="72" t="s">
        <v>174</v>
      </c>
      <c r="G56" s="32"/>
      <c r="H56" s="88">
        <f>H55+H53</f>
        <v>40848173.19341442</v>
      </c>
      <c r="J56" s="6"/>
      <c r="K56" s="72" t="s">
        <v>174</v>
      </c>
      <c r="L56" s="25"/>
      <c r="M56" s="25"/>
      <c r="N56" s="57">
        <f>N53+N55</f>
        <v>45591068.586313762</v>
      </c>
      <c r="O56" s="6"/>
      <c r="P56" s="9" t="s">
        <v>175</v>
      </c>
      <c r="Q56" s="6"/>
      <c r="R56" s="6"/>
      <c r="S56" s="179">
        <f>N176</f>
        <v>37838</v>
      </c>
    </row>
    <row r="57" spans="1:19" x14ac:dyDescent="0.2">
      <c r="A57" s="6"/>
      <c r="B57" s="6"/>
      <c r="C57" s="6"/>
      <c r="D57" s="6"/>
      <c r="E57" s="6"/>
      <c r="F57" s="9" t="s">
        <v>176</v>
      </c>
      <c r="G57" s="6"/>
      <c r="H57" s="89">
        <v>4221975</v>
      </c>
      <c r="J57" s="6"/>
      <c r="K57" s="9" t="s">
        <v>176</v>
      </c>
      <c r="L57" s="6"/>
      <c r="M57" s="6"/>
      <c r="N57" s="90">
        <f>H57</f>
        <v>4221975</v>
      </c>
      <c r="O57" s="6"/>
      <c r="P57" s="9" t="s">
        <v>177</v>
      </c>
      <c r="Q57" s="6"/>
      <c r="R57" s="6"/>
      <c r="S57" s="180">
        <f>N173</f>
        <v>384267</v>
      </c>
    </row>
    <row r="58" spans="1:19" x14ac:dyDescent="0.2">
      <c r="A58" s="6"/>
      <c r="B58" s="6"/>
      <c r="C58" s="6"/>
      <c r="D58" s="6"/>
      <c r="E58" s="6"/>
      <c r="F58" s="9" t="s">
        <v>53</v>
      </c>
      <c r="G58" s="6"/>
      <c r="H58" s="91">
        <f>H56-H57</f>
        <v>36626198.19341442</v>
      </c>
      <c r="J58" s="6"/>
      <c r="K58" s="9" t="s">
        <v>53</v>
      </c>
      <c r="L58" s="6"/>
      <c r="M58" s="6"/>
      <c r="N58" s="92">
        <f>N56-N57</f>
        <v>41369093.586313762</v>
      </c>
      <c r="O58" s="6"/>
      <c r="P58" s="11" t="s">
        <v>169</v>
      </c>
      <c r="Q58" s="95"/>
      <c r="R58" s="95"/>
      <c r="S58" s="181">
        <f>(S55+S57)/S56</f>
        <v>1040.8032372182486</v>
      </c>
    </row>
    <row r="59" spans="1:19" x14ac:dyDescent="0.2">
      <c r="A59" s="6"/>
      <c r="B59" s="6"/>
      <c r="C59" s="6"/>
      <c r="D59" s="6"/>
      <c r="E59" s="6"/>
      <c r="F59" s="9" t="s">
        <v>175</v>
      </c>
      <c r="G59" s="6"/>
      <c r="H59" s="93">
        <f>I176</f>
        <v>37705.76772195458</v>
      </c>
      <c r="J59" s="6"/>
      <c r="K59" s="9" t="s">
        <v>175</v>
      </c>
      <c r="L59" s="6"/>
      <c r="M59" s="6"/>
      <c r="N59" s="94">
        <f>I176</f>
        <v>37705.76772195458</v>
      </c>
      <c r="O59" s="6"/>
      <c r="P59" s="6"/>
      <c r="Q59" s="6"/>
      <c r="R59" s="6"/>
      <c r="S59" s="6"/>
    </row>
    <row r="60" spans="1:19" x14ac:dyDescent="0.2">
      <c r="A60" s="6"/>
      <c r="B60" s="6"/>
      <c r="C60" s="6"/>
      <c r="D60" s="6"/>
      <c r="E60" s="6"/>
      <c r="F60" s="11" t="s">
        <v>169</v>
      </c>
      <c r="G60" s="95"/>
      <c r="H60" s="96">
        <f>H58/H59</f>
        <v>971.36858380656793</v>
      </c>
      <c r="J60" s="6"/>
      <c r="K60" s="11" t="s">
        <v>169</v>
      </c>
      <c r="L60" s="95"/>
      <c r="M60" s="95"/>
      <c r="N60" s="97">
        <f>N58/N59</f>
        <v>1097.1555835004567</v>
      </c>
      <c r="O60" s="6"/>
      <c r="P60" s="6"/>
      <c r="Q60" s="6"/>
      <c r="R60" s="6"/>
      <c r="S60" s="6"/>
    </row>
    <row r="61" spans="1:19" x14ac:dyDescent="0.2">
      <c r="A61" s="6"/>
      <c r="B61" s="6"/>
      <c r="C61" s="6"/>
      <c r="D61" s="6"/>
      <c r="E61" s="6"/>
      <c r="F61" s="6"/>
      <c r="G61" s="6"/>
      <c r="H61" s="6"/>
      <c r="I61" s="6"/>
      <c r="J61" s="6"/>
      <c r="K61" s="6"/>
      <c r="L61" s="6"/>
      <c r="M61" s="6"/>
      <c r="N61" s="6"/>
      <c r="O61" s="6"/>
      <c r="P61" s="6"/>
      <c r="Q61" s="6"/>
      <c r="R61" s="6"/>
      <c r="S61" s="6"/>
    </row>
    <row r="62" spans="1:19" x14ac:dyDescent="0.2">
      <c r="A62" s="6"/>
      <c r="B62" s="6"/>
      <c r="C62" s="6"/>
      <c r="D62" s="6"/>
      <c r="E62" s="98"/>
      <c r="F62" s="6"/>
      <c r="G62" s="6"/>
      <c r="H62" s="6"/>
      <c r="I62" s="6"/>
      <c r="J62" s="6"/>
      <c r="K62" s="6"/>
      <c r="L62" s="6"/>
      <c r="M62" s="6"/>
      <c r="N62" s="6"/>
      <c r="O62" s="6"/>
      <c r="P62" s="6"/>
      <c r="Q62" s="6"/>
      <c r="R62" s="6"/>
      <c r="S62" s="6"/>
    </row>
    <row r="63" spans="1:19" x14ac:dyDescent="0.2">
      <c r="A63" s="6"/>
      <c r="B63" s="6"/>
      <c r="C63" s="6"/>
      <c r="D63" s="6"/>
      <c r="E63" s="6"/>
      <c r="F63" s="6"/>
      <c r="G63" s="99"/>
      <c r="H63" s="6"/>
      <c r="I63" s="6"/>
      <c r="J63" s="6"/>
      <c r="K63" s="6"/>
      <c r="L63" s="6"/>
      <c r="M63" s="6"/>
      <c r="N63" s="6"/>
      <c r="O63" s="6"/>
      <c r="P63" s="6"/>
      <c r="Q63" s="6"/>
      <c r="R63" s="6"/>
      <c r="S63" s="6"/>
    </row>
    <row r="64" spans="1:19" x14ac:dyDescent="0.2">
      <c r="A64" s="6" t="s">
        <v>104</v>
      </c>
      <c r="B64" s="16" t="s">
        <v>178</v>
      </c>
      <c r="C64" s="17"/>
      <c r="D64" s="16"/>
      <c r="E64" s="16"/>
      <c r="F64" s="17"/>
      <c r="G64" s="17"/>
      <c r="H64" s="17"/>
      <c r="I64" s="17"/>
      <c r="J64" s="17"/>
      <c r="K64" s="17"/>
      <c r="L64" s="17"/>
      <c r="M64" s="17"/>
      <c r="N64" s="17"/>
      <c r="O64" s="17"/>
      <c r="P64" s="6"/>
      <c r="Q64" s="6"/>
      <c r="R64" s="6"/>
      <c r="S64" s="6"/>
    </row>
    <row r="65" spans="1:19" x14ac:dyDescent="0.2">
      <c r="A65" s="6"/>
      <c r="B65" s="6"/>
      <c r="C65" s="6"/>
      <c r="D65" s="6"/>
      <c r="E65" s="6"/>
      <c r="F65" s="6"/>
      <c r="G65" s="6"/>
      <c r="H65" s="6"/>
      <c r="I65" s="6"/>
      <c r="J65" s="6"/>
      <c r="K65" s="6"/>
      <c r="L65" s="6"/>
      <c r="M65" s="6"/>
      <c r="N65" s="6"/>
      <c r="O65" s="6"/>
      <c r="P65" s="6"/>
      <c r="Q65" s="6"/>
      <c r="R65" s="6"/>
      <c r="S65" s="6"/>
    </row>
    <row r="66" spans="1:19" x14ac:dyDescent="0.2">
      <c r="A66" s="6"/>
      <c r="B66" s="6"/>
      <c r="C66" s="6"/>
      <c r="D66" s="6"/>
      <c r="E66" s="6"/>
      <c r="F66" s="6"/>
      <c r="G66" s="6"/>
      <c r="H66" s="6"/>
      <c r="I66" s="6"/>
      <c r="J66" s="6"/>
      <c r="K66" s="6"/>
      <c r="L66" s="6"/>
      <c r="M66" s="6"/>
      <c r="N66" s="6"/>
      <c r="O66" s="6"/>
      <c r="P66" s="6"/>
      <c r="Q66" s="6"/>
      <c r="R66" s="6"/>
      <c r="S66" s="6"/>
    </row>
    <row r="67" spans="1:19" x14ac:dyDescent="0.2">
      <c r="A67" s="6"/>
      <c r="B67" s="6"/>
      <c r="C67" s="6"/>
      <c r="D67" s="6"/>
      <c r="E67" s="6"/>
      <c r="F67" s="18" t="s">
        <v>128</v>
      </c>
      <c r="G67" s="19"/>
      <c r="H67" s="19"/>
      <c r="I67" s="19"/>
      <c r="J67" s="20"/>
      <c r="K67" s="18" t="s">
        <v>129</v>
      </c>
      <c r="L67" s="19"/>
      <c r="M67" s="19"/>
      <c r="N67" s="19"/>
      <c r="O67" s="20"/>
      <c r="P67" s="6"/>
      <c r="Q67" s="6"/>
      <c r="R67" s="6"/>
      <c r="S67" s="6"/>
    </row>
    <row r="68" spans="1:19" x14ac:dyDescent="0.2">
      <c r="A68" s="6"/>
      <c r="B68" s="6"/>
      <c r="C68" s="6"/>
      <c r="D68" s="6"/>
      <c r="E68" s="6"/>
      <c r="F68" s="100">
        <f>F13</f>
        <v>2019</v>
      </c>
      <c r="G68" s="61">
        <f t="shared" ref="G68:O68" si="16">F68+1</f>
        <v>2020</v>
      </c>
      <c r="H68" s="61">
        <f t="shared" si="16"/>
        <v>2021</v>
      </c>
      <c r="I68" s="61">
        <f t="shared" si="16"/>
        <v>2022</v>
      </c>
      <c r="J68" s="62">
        <f t="shared" si="16"/>
        <v>2023</v>
      </c>
      <c r="K68" s="61">
        <f t="shared" si="16"/>
        <v>2024</v>
      </c>
      <c r="L68" s="61">
        <f t="shared" si="16"/>
        <v>2025</v>
      </c>
      <c r="M68" s="61">
        <f t="shared" si="16"/>
        <v>2026</v>
      </c>
      <c r="N68" s="61">
        <f t="shared" si="16"/>
        <v>2027</v>
      </c>
      <c r="O68" s="61">
        <f t="shared" si="16"/>
        <v>2028</v>
      </c>
      <c r="P68" s="6"/>
      <c r="Q68" s="6"/>
      <c r="R68" s="6"/>
      <c r="S68" s="6"/>
    </row>
    <row r="69" spans="1:19" x14ac:dyDescent="0.2">
      <c r="A69" s="6"/>
      <c r="B69" s="101" t="s">
        <v>179</v>
      </c>
      <c r="C69" s="6"/>
      <c r="D69" s="6"/>
      <c r="E69" s="6"/>
      <c r="F69" s="49">
        <v>1072204</v>
      </c>
      <c r="G69" s="49">
        <v>1420237</v>
      </c>
      <c r="H69" s="49">
        <v>1381564</v>
      </c>
      <c r="I69" s="49">
        <v>1175837</v>
      </c>
      <c r="J69" s="102">
        <v>1620713</v>
      </c>
      <c r="K69" s="6"/>
      <c r="L69" s="6"/>
      <c r="M69" s="6"/>
      <c r="N69" s="6"/>
      <c r="O69" s="6"/>
      <c r="P69" s="6"/>
      <c r="Q69" s="6"/>
      <c r="R69" s="6"/>
      <c r="S69" s="6"/>
    </row>
    <row r="70" spans="1:19" x14ac:dyDescent="0.2">
      <c r="A70" s="6"/>
      <c r="B70" s="36" t="s">
        <v>180</v>
      </c>
      <c r="C70" s="6"/>
      <c r="D70" s="6"/>
      <c r="E70" s="6"/>
      <c r="F70" s="49">
        <v>480626</v>
      </c>
      <c r="G70" s="49">
        <v>607987</v>
      </c>
      <c r="H70" s="49">
        <v>815374</v>
      </c>
      <c r="I70" s="49">
        <v>384000</v>
      </c>
      <c r="J70" s="102">
        <v>560609</v>
      </c>
      <c r="K70" s="6"/>
      <c r="L70" s="6"/>
      <c r="M70" s="6"/>
      <c r="N70" s="6"/>
      <c r="O70" s="6"/>
      <c r="P70" s="6"/>
      <c r="Q70" s="6"/>
      <c r="R70" s="6"/>
      <c r="S70" s="6"/>
    </row>
    <row r="71" spans="1:19" x14ac:dyDescent="0.2">
      <c r="A71" s="6"/>
      <c r="B71" s="32" t="s">
        <v>181</v>
      </c>
      <c r="C71" s="25"/>
      <c r="D71" s="25"/>
      <c r="E71" s="25"/>
      <c r="F71" s="103">
        <f>F69-F70</f>
        <v>591578</v>
      </c>
      <c r="G71" s="103">
        <f t="shared" ref="G71:J71" si="17">G69-G70</f>
        <v>812250</v>
      </c>
      <c r="H71" s="103">
        <f t="shared" si="17"/>
        <v>566190</v>
      </c>
      <c r="I71" s="103">
        <f t="shared" si="17"/>
        <v>791837</v>
      </c>
      <c r="J71" s="104">
        <f t="shared" si="17"/>
        <v>1060104</v>
      </c>
      <c r="K71" s="6"/>
      <c r="L71" s="6"/>
      <c r="M71" s="6"/>
      <c r="N71" s="6"/>
      <c r="O71" s="6"/>
      <c r="P71" s="6"/>
      <c r="Q71" s="6"/>
      <c r="R71" s="6"/>
      <c r="S71" s="6"/>
    </row>
    <row r="72" spans="1:19" x14ac:dyDescent="0.2">
      <c r="A72" s="6"/>
      <c r="B72" s="6" t="s">
        <v>182</v>
      </c>
      <c r="C72" s="6"/>
      <c r="D72" s="6"/>
      <c r="E72" s="6"/>
      <c r="F72" s="49">
        <v>666593</v>
      </c>
      <c r="G72" s="49">
        <v>822199</v>
      </c>
      <c r="H72" s="49">
        <v>873682</v>
      </c>
      <c r="I72" s="49">
        <v>921880</v>
      </c>
      <c r="J72" s="102">
        <v>1030625</v>
      </c>
      <c r="K72" s="6"/>
      <c r="L72" s="6"/>
      <c r="M72" s="6"/>
      <c r="N72" s="6"/>
      <c r="O72" s="6"/>
      <c r="P72" s="6"/>
      <c r="Q72" s="6"/>
      <c r="R72" s="6"/>
      <c r="S72" s="6"/>
    </row>
    <row r="73" spans="1:19" x14ac:dyDescent="0.2">
      <c r="A73" s="6"/>
      <c r="B73" s="6" t="s">
        <v>183</v>
      </c>
      <c r="C73" s="6"/>
      <c r="D73" s="6"/>
      <c r="E73" s="6"/>
      <c r="F73" s="49">
        <v>173139</v>
      </c>
      <c r="G73" s="49">
        <v>204756</v>
      </c>
      <c r="H73" s="49">
        <v>218713</v>
      </c>
      <c r="I73" s="49">
        <v>236248</v>
      </c>
      <c r="J73" s="102">
        <v>248074</v>
      </c>
      <c r="K73" s="6"/>
      <c r="L73" s="6"/>
      <c r="M73" s="6"/>
      <c r="N73" s="6"/>
      <c r="O73" s="6"/>
      <c r="P73" s="6"/>
      <c r="Q73" s="6"/>
      <c r="R73" s="6"/>
      <c r="S73" s="6"/>
    </row>
    <row r="74" spans="1:19" x14ac:dyDescent="0.2">
      <c r="A74" s="6"/>
      <c r="B74" s="14" t="s">
        <v>184</v>
      </c>
      <c r="C74" s="6"/>
      <c r="D74" s="6"/>
      <c r="E74" s="6"/>
      <c r="F74" s="33">
        <f>F72-F73</f>
        <v>493454</v>
      </c>
      <c r="G74" s="33">
        <f t="shared" ref="G74:J74" si="18">G72-G73</f>
        <v>617443</v>
      </c>
      <c r="H74" s="33">
        <f t="shared" si="18"/>
        <v>654969</v>
      </c>
      <c r="I74" s="33">
        <f t="shared" si="18"/>
        <v>685632</v>
      </c>
      <c r="J74" s="34">
        <f t="shared" si="18"/>
        <v>782551</v>
      </c>
      <c r="K74" s="95"/>
      <c r="L74" s="95"/>
      <c r="M74" s="95"/>
      <c r="N74" s="95"/>
      <c r="O74" s="95"/>
      <c r="P74" s="6"/>
      <c r="Q74" s="6"/>
      <c r="R74" s="6"/>
      <c r="S74" s="6"/>
    </row>
    <row r="75" spans="1:19" x14ac:dyDescent="0.2">
      <c r="A75" s="6"/>
      <c r="B75" s="32" t="s">
        <v>185</v>
      </c>
      <c r="C75" s="25"/>
      <c r="D75" s="25"/>
      <c r="E75" s="25"/>
      <c r="F75" s="35">
        <f>F71-F74</f>
        <v>98124</v>
      </c>
      <c r="G75" s="35">
        <f t="shared" ref="G75:J75" si="19">G71-G74</f>
        <v>194807</v>
      </c>
      <c r="H75" s="35">
        <f t="shared" si="19"/>
        <v>-88779</v>
      </c>
      <c r="I75" s="35">
        <f t="shared" si="19"/>
        <v>106205</v>
      </c>
      <c r="J75" s="105">
        <f t="shared" si="19"/>
        <v>277553</v>
      </c>
      <c r="K75" s="106">
        <f>K81*K14</f>
        <v>337610.3958</v>
      </c>
      <c r="L75" s="106">
        <f>L81*L14</f>
        <v>425773.66633649997</v>
      </c>
      <c r="M75" s="106">
        <f>M81*M14</f>
        <v>536081.01103383745</v>
      </c>
      <c r="N75" s="106">
        <f>N81*N14</f>
        <v>674707.37103448284</v>
      </c>
      <c r="O75" s="106">
        <f>O81*O14</f>
        <v>849678.06308829156</v>
      </c>
      <c r="P75" s="6"/>
      <c r="Q75" s="6"/>
      <c r="R75" s="6"/>
      <c r="S75" s="6"/>
    </row>
    <row r="76" spans="1:19" x14ac:dyDescent="0.2">
      <c r="A76" s="6"/>
      <c r="B76" s="14" t="s">
        <v>186</v>
      </c>
      <c r="C76" s="6"/>
      <c r="D76" s="6"/>
      <c r="E76" s="6"/>
      <c r="G76" s="33">
        <f>G75-F75</f>
        <v>96683</v>
      </c>
      <c r="H76" s="33">
        <f t="shared" ref="H76:O76" si="20">H75-G75</f>
        <v>-283586</v>
      </c>
      <c r="I76" s="33">
        <f t="shared" si="20"/>
        <v>194984</v>
      </c>
      <c r="J76" s="34">
        <f t="shared" si="20"/>
        <v>171348</v>
      </c>
      <c r="K76" s="33">
        <f t="shared" si="20"/>
        <v>60057.395799999998</v>
      </c>
      <c r="L76" s="33">
        <f t="shared" si="20"/>
        <v>88163.270536499971</v>
      </c>
      <c r="M76" s="33">
        <f t="shared" si="20"/>
        <v>110307.34469733748</v>
      </c>
      <c r="N76" s="33">
        <f t="shared" si="20"/>
        <v>138626.36000064539</v>
      </c>
      <c r="O76" s="33">
        <f t="shared" si="20"/>
        <v>174970.69205380871</v>
      </c>
      <c r="P76" s="6"/>
      <c r="Q76" s="6"/>
      <c r="R76" s="6"/>
      <c r="S76" s="6"/>
    </row>
    <row r="77" spans="1:19" x14ac:dyDescent="0.2">
      <c r="A77" s="6"/>
      <c r="B77" s="6"/>
      <c r="C77" s="6"/>
      <c r="D77" s="6"/>
      <c r="E77" s="6"/>
      <c r="K77" s="6"/>
      <c r="L77" s="6"/>
      <c r="M77" s="6"/>
      <c r="N77" s="6"/>
      <c r="O77" s="6"/>
      <c r="P77" s="6"/>
      <c r="Q77" s="6"/>
      <c r="R77" s="6"/>
      <c r="S77" s="6"/>
    </row>
    <row r="78" spans="1:19" x14ac:dyDescent="0.2">
      <c r="A78" s="6"/>
      <c r="B78" s="6"/>
      <c r="C78" s="6"/>
      <c r="D78" s="6"/>
      <c r="E78" s="6"/>
      <c r="F78" s="6"/>
      <c r="G78" s="6"/>
      <c r="H78" s="6"/>
      <c r="I78" s="6"/>
      <c r="J78" s="6"/>
      <c r="K78" s="6"/>
      <c r="L78" s="6"/>
      <c r="M78" s="6"/>
      <c r="N78" s="6"/>
      <c r="O78" s="6"/>
      <c r="P78" s="6"/>
      <c r="Q78" s="6"/>
      <c r="R78" s="6"/>
      <c r="S78" s="6"/>
    </row>
    <row r="79" spans="1:19" x14ac:dyDescent="0.2">
      <c r="A79" s="6"/>
      <c r="B79" s="6"/>
      <c r="C79" s="6"/>
      <c r="D79" s="6"/>
      <c r="E79" s="6"/>
      <c r="F79" s="18" t="s">
        <v>128</v>
      </c>
      <c r="G79" s="19"/>
      <c r="H79" s="19"/>
      <c r="I79" s="19"/>
      <c r="J79" s="20"/>
      <c r="K79" s="18" t="s">
        <v>129</v>
      </c>
      <c r="L79" s="19"/>
      <c r="M79" s="19"/>
      <c r="N79" s="19"/>
      <c r="O79" s="20"/>
      <c r="P79" s="6"/>
      <c r="Q79" s="6"/>
      <c r="R79" s="6"/>
      <c r="S79" s="6"/>
    </row>
    <row r="80" spans="1:19" x14ac:dyDescent="0.2">
      <c r="A80" s="6"/>
      <c r="B80" s="6"/>
      <c r="C80" s="6"/>
      <c r="D80" s="6"/>
      <c r="E80" s="6"/>
      <c r="F80" s="100">
        <f>F68</f>
        <v>2019</v>
      </c>
      <c r="G80" s="61">
        <f t="shared" ref="G80:O80" si="21">F80+1</f>
        <v>2020</v>
      </c>
      <c r="H80" s="61">
        <f t="shared" si="21"/>
        <v>2021</v>
      </c>
      <c r="I80" s="61">
        <f t="shared" si="21"/>
        <v>2022</v>
      </c>
      <c r="J80" s="62">
        <f t="shared" si="21"/>
        <v>2023</v>
      </c>
      <c r="K80" s="61">
        <f t="shared" si="21"/>
        <v>2024</v>
      </c>
      <c r="L80" s="61">
        <f t="shared" si="21"/>
        <v>2025</v>
      </c>
      <c r="M80" s="61">
        <f t="shared" si="21"/>
        <v>2026</v>
      </c>
      <c r="N80" s="61">
        <f t="shared" si="21"/>
        <v>2027</v>
      </c>
      <c r="O80" s="61">
        <f t="shared" si="21"/>
        <v>2028</v>
      </c>
      <c r="P80" s="6"/>
      <c r="Q80" s="6"/>
      <c r="R80" s="6"/>
      <c r="S80" s="6"/>
    </row>
    <row r="81" spans="1:19" x14ac:dyDescent="0.2">
      <c r="A81" s="6"/>
      <c r="B81" s="6" t="s">
        <v>187</v>
      </c>
      <c r="C81" s="6"/>
      <c r="D81" s="6"/>
      <c r="E81" s="6"/>
      <c r="F81" s="107">
        <f>F75/F14</f>
        <v>1.7564897700098222E-2</v>
      </c>
      <c r="G81" s="107">
        <f>G75/G14</f>
        <v>3.2551196948719004E-2</v>
      </c>
      <c r="H81" s="107">
        <f>H75/H14</f>
        <v>-1.1763387098633494E-2</v>
      </c>
      <c r="I81" s="107">
        <f>I75/I14</f>
        <v>1.2299858755164655E-2</v>
      </c>
      <c r="J81" s="107">
        <f>J75/J14</f>
        <v>2.8116173903671007E-2</v>
      </c>
      <c r="K81" s="108">
        <v>0.03</v>
      </c>
      <c r="L81" s="107">
        <f>K81+$R$81</f>
        <v>3.2970956524082246E-2</v>
      </c>
      <c r="M81" s="107">
        <f t="shared" ref="M81:O81" si="22">L81+$R$81</f>
        <v>3.5941913048164492E-2</v>
      </c>
      <c r="N81" s="107">
        <f t="shared" si="22"/>
        <v>3.8912869572246739E-2</v>
      </c>
      <c r="O81" s="107">
        <f t="shared" si="22"/>
        <v>4.1883826096328985E-2</v>
      </c>
      <c r="P81" s="6"/>
      <c r="Q81" s="172" t="s">
        <v>147</v>
      </c>
      <c r="R81" s="171">
        <f>(S81-J81)/($O$33-$K$33)</f>
        <v>2.9709565240822484E-3</v>
      </c>
      <c r="S81" s="174">
        <v>0.04</v>
      </c>
    </row>
    <row r="82" spans="1:19" x14ac:dyDescent="0.2">
      <c r="A82" s="6"/>
      <c r="B82" s="6"/>
      <c r="C82" s="6"/>
      <c r="D82" s="6"/>
      <c r="E82" s="6"/>
      <c r="F82" s="6"/>
      <c r="G82" s="6"/>
      <c r="H82" s="6"/>
      <c r="I82" s="6"/>
      <c r="J82" s="6"/>
      <c r="K82" s="6"/>
      <c r="L82" s="6"/>
      <c r="M82" s="6"/>
      <c r="N82" s="6"/>
      <c r="O82" s="6"/>
      <c r="P82" s="6"/>
      <c r="Q82" s="6"/>
      <c r="R82" s="6"/>
      <c r="S82" s="6" t="s">
        <v>188</v>
      </c>
    </row>
    <row r="83" spans="1:19" x14ac:dyDescent="0.2">
      <c r="A83" s="6" t="s">
        <v>104</v>
      </c>
      <c r="B83" s="16" t="s">
        <v>189</v>
      </c>
      <c r="C83" s="17"/>
      <c r="D83" s="16"/>
      <c r="E83" s="16"/>
      <c r="F83" s="17"/>
      <c r="G83" s="17"/>
      <c r="H83" s="17"/>
      <c r="I83" s="17"/>
      <c r="J83" s="17"/>
      <c r="K83" s="17"/>
      <c r="L83" s="17"/>
      <c r="M83" s="17"/>
      <c r="N83" s="17"/>
      <c r="O83" s="17"/>
      <c r="P83" s="6"/>
      <c r="Q83" s="6"/>
      <c r="R83" s="6"/>
      <c r="S83" s="6"/>
    </row>
    <row r="84" spans="1:19" x14ac:dyDescent="0.2">
      <c r="A84" s="6"/>
      <c r="B84" s="109"/>
      <c r="C84" s="110"/>
      <c r="D84" s="109"/>
      <c r="E84" s="109"/>
      <c r="F84" s="110"/>
      <c r="G84" s="110"/>
      <c r="H84" s="110"/>
      <c r="I84" s="110"/>
      <c r="J84" s="110"/>
      <c r="K84" s="110"/>
      <c r="L84" s="110"/>
      <c r="M84" s="110"/>
      <c r="N84" s="110"/>
      <c r="O84" s="110"/>
      <c r="P84" s="6"/>
      <c r="Q84" s="6"/>
      <c r="R84" s="6"/>
      <c r="S84" s="6"/>
    </row>
    <row r="85" spans="1:19" x14ac:dyDescent="0.2">
      <c r="A85" s="6"/>
      <c r="B85" s="15" t="s">
        <v>190</v>
      </c>
      <c r="C85" s="6"/>
      <c r="D85" s="6"/>
      <c r="E85" s="6"/>
      <c r="F85" s="14" t="s">
        <v>191</v>
      </c>
      <c r="G85" s="14"/>
      <c r="H85" s="6"/>
      <c r="I85" s="6"/>
      <c r="J85" s="6"/>
      <c r="K85" s="6"/>
      <c r="L85" s="6"/>
      <c r="M85" s="6"/>
      <c r="N85" s="6"/>
      <c r="O85" s="6"/>
      <c r="P85" s="6"/>
      <c r="Q85" s="6"/>
      <c r="R85" s="6"/>
      <c r="S85" s="6"/>
    </row>
    <row r="86" spans="1:19" x14ac:dyDescent="0.2">
      <c r="A86" s="6"/>
      <c r="B86" s="111" t="s">
        <v>192</v>
      </c>
      <c r="C86" s="6"/>
      <c r="D86" s="6"/>
      <c r="E86" s="6"/>
      <c r="F86" s="6"/>
      <c r="G86" s="6"/>
      <c r="H86" s="6"/>
      <c r="I86" s="6"/>
      <c r="J86" s="6"/>
      <c r="K86" s="6"/>
      <c r="L86" s="6"/>
      <c r="M86" s="6"/>
      <c r="N86" s="6"/>
      <c r="O86" s="6"/>
      <c r="P86" s="6"/>
      <c r="Q86" s="6"/>
      <c r="R86" s="6"/>
      <c r="S86" s="6"/>
    </row>
    <row r="87" spans="1:19" x14ac:dyDescent="0.2">
      <c r="A87" s="6"/>
      <c r="B87" s="5" t="s">
        <v>193</v>
      </c>
      <c r="C87" s="6"/>
      <c r="D87" s="6"/>
      <c r="E87" s="6"/>
      <c r="F87" s="112">
        <v>4051625</v>
      </c>
      <c r="G87" s="6"/>
      <c r="H87" s="6"/>
      <c r="I87" s="6"/>
      <c r="J87" s="6"/>
      <c r="K87" s="6"/>
      <c r="L87" s="6"/>
      <c r="M87" s="6"/>
      <c r="N87" s="6"/>
      <c r="O87" s="6"/>
      <c r="P87" s="6"/>
      <c r="Q87" s="6"/>
      <c r="R87" s="6"/>
      <c r="S87" s="6"/>
    </row>
    <row r="88" spans="1:19" x14ac:dyDescent="0.2">
      <c r="A88" s="6"/>
      <c r="B88" s="5" t="s">
        <v>194</v>
      </c>
      <c r="C88" s="6"/>
      <c r="D88" s="6"/>
      <c r="E88" s="6"/>
      <c r="F88" s="113">
        <v>2906</v>
      </c>
      <c r="G88" s="114"/>
      <c r="H88" s="6"/>
      <c r="I88" s="6" t="s">
        <v>195</v>
      </c>
      <c r="J88" s="6"/>
      <c r="K88" s="6"/>
      <c r="L88" s="6"/>
      <c r="M88" s="6"/>
      <c r="N88" s="6"/>
      <c r="O88" s="6"/>
      <c r="P88" s="6"/>
      <c r="Q88" s="6"/>
      <c r="R88" s="6"/>
      <c r="S88" s="6"/>
    </row>
    <row r="89" spans="1:19" x14ac:dyDescent="0.2">
      <c r="A89" s="6"/>
      <c r="B89" s="5" t="s">
        <v>196</v>
      </c>
      <c r="C89" s="6"/>
      <c r="D89" s="6"/>
      <c r="E89" s="6"/>
      <c r="F89" s="115">
        <v>27421.169000000002</v>
      </c>
      <c r="G89" s="6" t="s">
        <v>197</v>
      </c>
      <c r="H89" s="6"/>
      <c r="I89" s="116">
        <f>I176</f>
        <v>37705.76772195458</v>
      </c>
      <c r="J89" s="6"/>
      <c r="K89" s="6"/>
      <c r="L89" s="6"/>
      <c r="M89" s="6"/>
      <c r="N89" s="6"/>
      <c r="O89" s="6"/>
      <c r="P89" s="6"/>
      <c r="Q89" s="6"/>
      <c r="R89" s="6"/>
      <c r="S89" s="6"/>
    </row>
    <row r="90" spans="1:19" x14ac:dyDescent="0.2">
      <c r="A90" s="6"/>
      <c r="B90" s="117" t="s">
        <v>198</v>
      </c>
      <c r="C90" s="25"/>
      <c r="D90" s="25"/>
      <c r="E90" s="25"/>
      <c r="F90" s="118">
        <f>$F$88*$F$89</f>
        <v>79685917.114000008</v>
      </c>
      <c r="G90" s="6"/>
      <c r="H90" s="6"/>
      <c r="I90" s="6"/>
      <c r="J90" s="6"/>
      <c r="K90" s="6"/>
      <c r="L90" s="6"/>
      <c r="M90" s="6"/>
      <c r="N90" s="6"/>
      <c r="O90" s="6"/>
      <c r="P90" s="6"/>
      <c r="Q90" s="6"/>
      <c r="R90" s="6"/>
      <c r="S90" s="6"/>
    </row>
    <row r="91" spans="1:19" x14ac:dyDescent="0.2">
      <c r="A91" s="6"/>
      <c r="C91" s="6"/>
      <c r="D91" s="6"/>
      <c r="E91" s="6"/>
      <c r="F91" s="119"/>
      <c r="G91" s="6"/>
      <c r="H91" s="6"/>
      <c r="I91" s="6"/>
      <c r="J91" s="6"/>
      <c r="K91" s="6"/>
      <c r="L91" s="6"/>
      <c r="M91" s="6"/>
      <c r="N91" s="6"/>
      <c r="O91" s="6"/>
      <c r="P91" s="6"/>
      <c r="Q91" s="6"/>
      <c r="R91" s="6"/>
      <c r="S91" s="6"/>
    </row>
    <row r="92" spans="1:19" x14ac:dyDescent="0.2">
      <c r="A92" s="6"/>
      <c r="B92" s="5" t="s">
        <v>199</v>
      </c>
      <c r="C92" s="6"/>
      <c r="D92" s="6"/>
      <c r="E92" s="6"/>
      <c r="F92" s="120">
        <f>F87/(F87+F90)</f>
        <v>4.8384809223133533E-2</v>
      </c>
      <c r="G92" s="6"/>
      <c r="H92" s="6"/>
      <c r="I92" s="6"/>
      <c r="J92" s="6"/>
      <c r="K92" s="6"/>
      <c r="L92" s="6"/>
      <c r="M92" s="6"/>
      <c r="N92" s="6"/>
      <c r="O92" s="6"/>
      <c r="P92" s="6"/>
      <c r="Q92" s="6"/>
      <c r="R92" s="6"/>
      <c r="S92" s="6"/>
    </row>
    <row r="93" spans="1:19" x14ac:dyDescent="0.2">
      <c r="A93" s="6"/>
      <c r="B93" s="5" t="s">
        <v>200</v>
      </c>
      <c r="C93" s="6"/>
      <c r="D93" s="6"/>
      <c r="E93" s="6"/>
      <c r="F93" s="120">
        <f>F$90/(F$87+F$90)</f>
        <v>0.95161519077686652</v>
      </c>
      <c r="G93" s="6"/>
      <c r="H93" s="6"/>
      <c r="I93" s="6"/>
      <c r="J93" s="6"/>
      <c r="K93" s="6"/>
      <c r="L93" s="6"/>
      <c r="M93" s="6"/>
      <c r="N93" s="6"/>
      <c r="O93" s="6"/>
      <c r="P93" s="6"/>
      <c r="Q93" s="6"/>
      <c r="R93" s="6"/>
      <c r="S93" s="6"/>
    </row>
    <row r="94" spans="1:19" x14ac:dyDescent="0.2">
      <c r="A94" s="6"/>
      <c r="C94" s="6"/>
      <c r="D94" s="6"/>
      <c r="E94" s="6"/>
      <c r="F94" s="6"/>
      <c r="G94" s="6"/>
      <c r="H94" s="6"/>
      <c r="I94" s="6"/>
      <c r="J94" s="6"/>
      <c r="K94" s="6"/>
      <c r="L94" s="6"/>
      <c r="M94" s="6"/>
      <c r="N94" s="6"/>
      <c r="O94" s="6"/>
      <c r="P94" s="6"/>
      <c r="Q94" s="6"/>
      <c r="R94" s="6"/>
      <c r="S94" s="6"/>
    </row>
    <row r="95" spans="1:19" x14ac:dyDescent="0.2">
      <c r="A95" s="6"/>
      <c r="B95" s="111" t="s">
        <v>201</v>
      </c>
      <c r="C95" s="6"/>
      <c r="D95" s="6"/>
      <c r="E95" s="6"/>
      <c r="F95" s="121"/>
      <c r="G95" s="6"/>
      <c r="H95" s="6"/>
      <c r="I95" s="6"/>
      <c r="J95" s="6"/>
      <c r="K95" s="6"/>
      <c r="L95" s="6"/>
      <c r="M95" s="6"/>
      <c r="N95" s="6"/>
      <c r="O95" s="6"/>
      <c r="P95" s="6"/>
      <c r="Q95" s="6"/>
      <c r="R95" s="6"/>
      <c r="S95" s="6"/>
    </row>
    <row r="96" spans="1:19" x14ac:dyDescent="0.2">
      <c r="A96" s="6"/>
      <c r="B96" s="5" t="s">
        <v>202</v>
      </c>
      <c r="C96" s="6"/>
      <c r="D96" s="6"/>
      <c r="E96" s="6"/>
      <c r="F96" s="122">
        <f>F100+H96</f>
        <v>5.67E-2</v>
      </c>
      <c r="G96" s="6" t="s">
        <v>203</v>
      </c>
      <c r="H96" s="123">
        <v>1.47E-2</v>
      </c>
      <c r="I96" s="6"/>
      <c r="J96" s="6"/>
      <c r="K96" s="6"/>
      <c r="L96" s="6"/>
      <c r="M96" s="6"/>
      <c r="N96" s="6"/>
      <c r="O96" s="6"/>
      <c r="P96" s="6"/>
      <c r="Q96" s="6"/>
      <c r="R96" s="6"/>
      <c r="S96" s="6"/>
    </row>
    <row r="97" spans="1:19" x14ac:dyDescent="0.2">
      <c r="A97" s="6"/>
      <c r="B97" s="5" t="s">
        <v>204</v>
      </c>
      <c r="C97" s="6"/>
      <c r="D97" s="6"/>
      <c r="E97" s="6"/>
      <c r="F97" s="124">
        <v>0.25</v>
      </c>
      <c r="G97" s="6"/>
      <c r="H97" s="6"/>
      <c r="I97" s="6"/>
      <c r="J97" s="6"/>
      <c r="K97" s="6"/>
      <c r="L97" s="6"/>
      <c r="M97" s="6"/>
      <c r="N97" s="6"/>
      <c r="O97" s="6"/>
      <c r="P97" s="6"/>
      <c r="Q97" s="6"/>
      <c r="R97" s="6"/>
      <c r="S97" s="6"/>
    </row>
    <row r="98" spans="1:19" x14ac:dyDescent="0.2">
      <c r="A98" s="6"/>
      <c r="C98" s="6"/>
      <c r="D98" s="6"/>
      <c r="E98" s="6"/>
      <c r="F98" s="98"/>
      <c r="G98" s="6"/>
      <c r="H98" s="6"/>
      <c r="I98" s="6"/>
      <c r="J98" s="6"/>
      <c r="K98" s="6"/>
      <c r="L98" s="6"/>
      <c r="M98" s="6"/>
      <c r="N98" s="6"/>
      <c r="O98" s="6"/>
      <c r="P98" s="6"/>
      <c r="Q98" s="6"/>
      <c r="R98" s="6"/>
      <c r="S98" s="6"/>
    </row>
    <row r="99" spans="1:19" x14ac:dyDescent="0.2">
      <c r="A99" s="6"/>
      <c r="B99" s="111" t="s">
        <v>205</v>
      </c>
      <c r="C99" s="6"/>
      <c r="D99" s="6"/>
      <c r="E99" s="6"/>
      <c r="F99" s="6"/>
      <c r="G99" s="6"/>
      <c r="H99" s="6"/>
      <c r="I99" s="6"/>
      <c r="J99" s="6"/>
      <c r="K99" s="6"/>
      <c r="L99" s="6"/>
      <c r="M99" s="6"/>
      <c r="N99" s="6"/>
      <c r="O99" s="6"/>
      <c r="P99" s="6"/>
      <c r="Q99" s="6"/>
      <c r="R99" s="6"/>
      <c r="S99" s="6"/>
    </row>
    <row r="100" spans="1:19" x14ac:dyDescent="0.2">
      <c r="A100" s="6"/>
      <c r="B100" s="5" t="s">
        <v>206</v>
      </c>
      <c r="C100" s="6"/>
      <c r="D100" s="6"/>
      <c r="E100" s="6"/>
      <c r="F100" s="125">
        <v>4.2000000000000003E-2</v>
      </c>
      <c r="G100" s="126"/>
      <c r="H100" s="6"/>
      <c r="I100" s="6"/>
      <c r="J100" s="6"/>
      <c r="K100" s="6"/>
      <c r="L100" s="6"/>
      <c r="M100" s="6"/>
      <c r="N100" s="6"/>
      <c r="O100" s="6"/>
      <c r="P100" s="6"/>
      <c r="Q100" s="6"/>
      <c r="R100" s="6"/>
      <c r="S100" s="6"/>
    </row>
    <row r="101" spans="1:19" x14ac:dyDescent="0.2">
      <c r="A101" s="6"/>
      <c r="B101" s="5" t="s">
        <v>207</v>
      </c>
      <c r="C101" s="6"/>
      <c r="D101" s="6"/>
      <c r="E101" s="6"/>
      <c r="F101" s="125">
        <v>4.1799999999999997E-2</v>
      </c>
      <c r="G101" s="6"/>
      <c r="H101" s="6"/>
      <c r="I101" s="6"/>
      <c r="J101" s="6"/>
      <c r="K101" s="6"/>
      <c r="L101" s="6"/>
      <c r="M101" s="6"/>
      <c r="N101" s="6"/>
      <c r="O101" s="6"/>
      <c r="P101" s="6"/>
      <c r="Q101" s="6"/>
      <c r="R101" s="6"/>
      <c r="S101" s="6"/>
    </row>
    <row r="102" spans="1:19" x14ac:dyDescent="0.2">
      <c r="A102" s="6"/>
      <c r="B102" s="5" t="s">
        <v>208</v>
      </c>
      <c r="C102" s="6"/>
      <c r="D102" s="6"/>
      <c r="E102" s="6"/>
      <c r="F102" s="127">
        <f>C123</f>
        <v>2.0618799395674752</v>
      </c>
      <c r="G102" s="6"/>
      <c r="H102" s="6"/>
      <c r="I102" s="6"/>
      <c r="J102" s="6"/>
      <c r="K102" s="6"/>
      <c r="L102" s="6"/>
      <c r="M102" s="6"/>
      <c r="N102" s="6"/>
      <c r="O102" s="6"/>
      <c r="P102" s="6"/>
      <c r="Q102" s="6"/>
      <c r="R102" s="6"/>
      <c r="S102" s="6"/>
    </row>
    <row r="103" spans="1:19" x14ac:dyDescent="0.2">
      <c r="A103" s="6"/>
      <c r="B103" s="111" t="s">
        <v>205</v>
      </c>
      <c r="C103" s="6"/>
      <c r="D103" s="6"/>
      <c r="E103" s="6"/>
      <c r="F103" s="122">
        <f>F100+(F101*F102)</f>
        <v>0.12818658147392045</v>
      </c>
      <c r="G103" s="6"/>
      <c r="H103" s="6"/>
      <c r="I103" s="6"/>
      <c r="J103" s="6"/>
      <c r="K103" s="6"/>
      <c r="L103" s="6"/>
      <c r="M103" s="6"/>
      <c r="N103" s="6"/>
      <c r="O103" s="6"/>
      <c r="P103" s="6"/>
      <c r="Q103" s="6"/>
      <c r="R103" s="6"/>
      <c r="S103" s="6"/>
    </row>
    <row r="104" spans="1:19" x14ac:dyDescent="0.2">
      <c r="A104" s="6"/>
      <c r="C104" s="6"/>
      <c r="D104" s="6"/>
      <c r="E104" s="6"/>
      <c r="F104" s="6"/>
      <c r="G104" s="6"/>
      <c r="H104" s="6"/>
      <c r="I104" s="6"/>
      <c r="J104" s="6"/>
      <c r="K104" s="6"/>
      <c r="L104" s="6"/>
      <c r="M104" s="6"/>
      <c r="N104" s="6"/>
      <c r="O104" s="6"/>
      <c r="P104" s="6"/>
      <c r="Q104" s="6"/>
      <c r="R104" s="6"/>
      <c r="S104" s="6"/>
    </row>
    <row r="105" spans="1:19" x14ac:dyDescent="0.2">
      <c r="A105" s="6"/>
      <c r="B105" s="117" t="s">
        <v>209</v>
      </c>
      <c r="C105" s="25"/>
      <c r="D105" s="25"/>
      <c r="E105" s="25"/>
      <c r="F105" s="128">
        <f>(F93*F103)+(F92*F96*(1-F97))</f>
        <v>0.12404186219655292</v>
      </c>
      <c r="G105" s="6"/>
      <c r="H105" s="6"/>
      <c r="I105" s="6"/>
      <c r="J105" s="6"/>
      <c r="K105" s="6"/>
      <c r="L105" s="6"/>
      <c r="M105" s="6"/>
      <c r="N105" s="6"/>
      <c r="O105" s="6"/>
      <c r="P105" s="6"/>
      <c r="Q105" s="6"/>
      <c r="R105" s="6"/>
      <c r="S105" s="6"/>
    </row>
    <row r="106" spans="1:19" x14ac:dyDescent="0.2">
      <c r="A106" s="6"/>
      <c r="B106" s="6"/>
      <c r="C106" s="6"/>
      <c r="D106" s="6"/>
      <c r="E106" s="6"/>
      <c r="F106" s="6"/>
      <c r="G106" s="6"/>
      <c r="H106" s="6"/>
      <c r="I106" s="6"/>
      <c r="J106" s="6"/>
      <c r="K106" s="6"/>
      <c r="L106" s="6"/>
      <c r="M106" s="6"/>
      <c r="N106" s="6"/>
      <c r="O106" s="6"/>
      <c r="P106" s="6"/>
      <c r="Q106" s="6"/>
      <c r="R106" s="6"/>
      <c r="S106" s="6"/>
    </row>
    <row r="107" spans="1:19" x14ac:dyDescent="0.2">
      <c r="A107" s="6" t="s">
        <v>104</v>
      </c>
      <c r="B107" s="16" t="s">
        <v>210</v>
      </c>
      <c r="C107" s="17"/>
      <c r="D107" s="16"/>
      <c r="E107" s="16"/>
      <c r="F107" s="17"/>
      <c r="G107" s="17"/>
      <c r="H107" s="17"/>
      <c r="I107" s="17"/>
      <c r="J107" s="17"/>
      <c r="K107" s="17"/>
      <c r="L107" s="17"/>
      <c r="M107" s="17"/>
      <c r="N107" s="17"/>
      <c r="O107" s="17"/>
      <c r="P107" s="6"/>
      <c r="Q107" s="6"/>
      <c r="R107" s="6"/>
      <c r="S107" s="6"/>
    </row>
    <row r="108" spans="1:19" x14ac:dyDescent="0.2">
      <c r="A108" s="6"/>
      <c r="B108" s="5"/>
      <c r="C108" s="5"/>
      <c r="D108" s="5"/>
      <c r="E108" s="5"/>
      <c r="F108" s="5"/>
      <c r="G108" s="5"/>
      <c r="H108" s="5"/>
      <c r="I108" s="5"/>
      <c r="J108" s="5"/>
      <c r="K108" s="5"/>
      <c r="L108" s="5"/>
      <c r="M108" s="5"/>
      <c r="N108" s="6"/>
      <c r="O108" s="6"/>
      <c r="P108" s="6"/>
      <c r="Q108" s="6"/>
      <c r="R108" s="6"/>
      <c r="S108" s="6"/>
    </row>
    <row r="109" spans="1:19" x14ac:dyDescent="0.2">
      <c r="A109" s="6"/>
      <c r="B109" s="5"/>
      <c r="C109" s="5"/>
      <c r="D109" s="5"/>
      <c r="E109" s="5"/>
      <c r="F109" s="5"/>
      <c r="G109" s="5"/>
      <c r="H109" s="5"/>
      <c r="I109" s="5"/>
      <c r="J109" s="5"/>
      <c r="K109" s="5"/>
      <c r="L109" s="5"/>
      <c r="M109" s="5"/>
      <c r="N109" s="6"/>
      <c r="O109" s="6"/>
      <c r="P109" s="6"/>
      <c r="Q109" s="6"/>
      <c r="R109" s="6"/>
      <c r="S109" s="6"/>
    </row>
    <row r="110" spans="1:19" x14ac:dyDescent="0.2">
      <c r="A110" s="6"/>
      <c r="B110" s="5"/>
      <c r="C110" s="5"/>
      <c r="D110" s="5"/>
      <c r="E110" s="129" t="s">
        <v>211</v>
      </c>
      <c r="F110" s="129" t="s">
        <v>212</v>
      </c>
      <c r="G110" s="129" t="s">
        <v>213</v>
      </c>
      <c r="H110" s="129" t="s">
        <v>214</v>
      </c>
      <c r="I110" s="129" t="s">
        <v>215</v>
      </c>
      <c r="J110" s="5"/>
      <c r="K110" s="129" t="s">
        <v>216</v>
      </c>
      <c r="L110" s="6"/>
      <c r="M110" s="6"/>
      <c r="N110" s="6"/>
      <c r="O110" s="6"/>
      <c r="P110" s="6"/>
      <c r="Q110" s="6"/>
      <c r="R110" s="6"/>
      <c r="S110" s="6"/>
    </row>
    <row r="111" spans="1:19" ht="16" thickBot="1" x14ac:dyDescent="0.25">
      <c r="A111" s="6"/>
      <c r="B111" s="130" t="s">
        <v>27</v>
      </c>
      <c r="C111" s="131" t="s">
        <v>13</v>
      </c>
      <c r="D111" s="132"/>
      <c r="E111" s="132" t="s">
        <v>36</v>
      </c>
      <c r="F111" s="132" t="s">
        <v>217</v>
      </c>
      <c r="G111" s="132" t="s">
        <v>36</v>
      </c>
      <c r="H111" s="132" t="s">
        <v>208</v>
      </c>
      <c r="I111" s="132" t="s">
        <v>208</v>
      </c>
      <c r="J111" s="5"/>
      <c r="K111" s="132" t="s">
        <v>218</v>
      </c>
      <c r="L111" s="6"/>
      <c r="M111" s="6"/>
      <c r="N111" s="6"/>
      <c r="O111" s="6"/>
      <c r="P111" s="6"/>
      <c r="Q111" s="6"/>
      <c r="R111" s="6"/>
      <c r="S111" s="6"/>
    </row>
    <row r="112" spans="1:19" x14ac:dyDescent="0.2">
      <c r="A112" s="6"/>
      <c r="B112" s="5" t="s">
        <v>41</v>
      </c>
      <c r="C112" s="5" t="s">
        <v>42</v>
      </c>
      <c r="D112" s="5"/>
      <c r="E112" s="133">
        <f>(70.05*113610000)/1000</f>
        <v>7958380.5</v>
      </c>
      <c r="F112" s="134">
        <f>303615+32583</f>
        <v>336198</v>
      </c>
      <c r="G112" s="135">
        <f>F112/E112</f>
        <v>4.2244524498420248E-2</v>
      </c>
      <c r="H112" s="136">
        <v>3.76</v>
      </c>
      <c r="I112" s="137">
        <f>H112/(1+(1-K112)*G112)</f>
        <v>3.6445289554424565</v>
      </c>
      <c r="J112" s="5"/>
      <c r="K112" s="138">
        <f>$F$97</f>
        <v>0.25</v>
      </c>
      <c r="L112" s="6"/>
      <c r="M112" s="6"/>
      <c r="N112" s="6"/>
      <c r="O112" s="6"/>
      <c r="P112" s="6"/>
      <c r="Q112" s="6"/>
      <c r="R112" s="6"/>
      <c r="S112" s="6"/>
    </row>
    <row r="113" spans="1:19" x14ac:dyDescent="0.2">
      <c r="A113" s="6"/>
      <c r="B113" s="5" t="s">
        <v>219</v>
      </c>
      <c r="C113" s="5" t="s">
        <v>46</v>
      </c>
      <c r="D113" s="5"/>
      <c r="E113" s="133">
        <f>(281340000*138.65)/1000</f>
        <v>39007791</v>
      </c>
      <c r="F113" s="139">
        <v>22408000</v>
      </c>
      <c r="G113" s="135">
        <f>F113/E113</f>
        <v>0.57444934526028402</v>
      </c>
      <c r="H113" s="136">
        <v>0.85</v>
      </c>
      <c r="I113" s="137">
        <f>H113/(1+(1-K113)*G113)</f>
        <v>0.59405787988850289</v>
      </c>
      <c r="J113" s="5"/>
      <c r="K113" s="138">
        <f>$F$97</f>
        <v>0.25</v>
      </c>
      <c r="L113" s="6"/>
      <c r="M113" s="6"/>
      <c r="N113" s="6"/>
      <c r="O113" s="6"/>
      <c r="P113" s="6"/>
      <c r="Q113" s="6"/>
      <c r="R113" s="6"/>
      <c r="S113" s="6"/>
    </row>
    <row r="114" spans="1:19" x14ac:dyDescent="0.2">
      <c r="A114" s="6"/>
      <c r="B114" s="5" t="s">
        <v>220</v>
      </c>
      <c r="C114" s="5" t="s">
        <v>44</v>
      </c>
      <c r="D114" s="5"/>
      <c r="E114" s="133">
        <f>(39480000*104.03)/1000</f>
        <v>4107104.4</v>
      </c>
      <c r="F114" s="139">
        <v>815884</v>
      </c>
      <c r="G114" s="135">
        <f>F114/E114</f>
        <v>0.19865187746384047</v>
      </c>
      <c r="H114" s="136">
        <v>1.79</v>
      </c>
      <c r="I114" s="137">
        <f>H114/(1+(1-K114)*G114)</f>
        <v>1.5578914534199428</v>
      </c>
      <c r="J114" s="5"/>
      <c r="K114" s="138">
        <f>$F$97</f>
        <v>0.25</v>
      </c>
      <c r="L114" s="6"/>
      <c r="M114" s="6"/>
      <c r="N114" s="6"/>
      <c r="O114" s="6"/>
      <c r="P114" s="6"/>
      <c r="Q114" s="6"/>
      <c r="R114" s="6"/>
      <c r="S114" s="6"/>
    </row>
    <row r="115" spans="1:19" x14ac:dyDescent="0.2">
      <c r="A115" s="6"/>
      <c r="B115" s="5" t="s">
        <v>221</v>
      </c>
      <c r="C115" s="5" t="s">
        <v>48</v>
      </c>
      <c r="D115" s="5"/>
      <c r="E115" s="133">
        <f>(112990000*25.26)/1000</f>
        <v>2854127.4</v>
      </c>
      <c r="F115" s="139">
        <v>309684</v>
      </c>
      <c r="G115" s="140">
        <f>F115/E115</f>
        <v>0.10850391611811022</v>
      </c>
      <c r="H115" s="136">
        <v>2.2200000000000002</v>
      </c>
      <c r="I115" s="137">
        <f>H115/(1+(1-K115)*G115)</f>
        <v>2.0529362805172022</v>
      </c>
      <c r="J115" s="5"/>
      <c r="K115" s="138">
        <f>$F$97</f>
        <v>0.25</v>
      </c>
      <c r="L115" s="6"/>
      <c r="M115" s="6"/>
      <c r="N115" s="6"/>
      <c r="O115" s="6"/>
      <c r="P115" s="6"/>
      <c r="Q115" s="6"/>
      <c r="R115" s="6"/>
      <c r="S115" s="6"/>
    </row>
    <row r="116" spans="1:19" x14ac:dyDescent="0.2">
      <c r="A116" s="6"/>
      <c r="B116" s="5"/>
      <c r="C116" s="5"/>
      <c r="D116" s="5"/>
      <c r="E116" s="141"/>
      <c r="F116" s="141"/>
      <c r="G116" s="137"/>
      <c r="H116" s="142"/>
      <c r="I116" s="143"/>
      <c r="J116" s="5"/>
      <c r="K116" s="144"/>
      <c r="L116" s="6"/>
      <c r="M116" s="6"/>
      <c r="N116" s="6"/>
      <c r="O116" s="6"/>
      <c r="P116" s="6"/>
      <c r="Q116" s="6"/>
      <c r="R116" s="6"/>
      <c r="S116" s="6"/>
    </row>
    <row r="117" spans="1:19" x14ac:dyDescent="0.2">
      <c r="A117" s="6"/>
      <c r="B117" s="5"/>
      <c r="C117" s="5"/>
      <c r="D117" s="5"/>
      <c r="E117" s="141"/>
      <c r="F117" s="141"/>
      <c r="G117" s="137"/>
      <c r="H117" s="142"/>
      <c r="I117" s="143"/>
      <c r="J117" s="5"/>
      <c r="K117" s="144"/>
      <c r="L117" s="6"/>
      <c r="M117" s="6"/>
      <c r="N117" s="6"/>
      <c r="O117" s="6"/>
      <c r="P117" s="6"/>
      <c r="Q117" s="6"/>
      <c r="R117" s="6"/>
      <c r="S117" s="6"/>
    </row>
    <row r="118" spans="1:19" x14ac:dyDescent="0.2">
      <c r="A118" s="6"/>
      <c r="B118" s="5"/>
      <c r="C118" s="5"/>
      <c r="D118" s="5"/>
      <c r="E118" s="5"/>
      <c r="F118" s="5"/>
      <c r="G118" s="5"/>
      <c r="H118" s="5"/>
      <c r="I118" s="5"/>
      <c r="J118" s="5"/>
      <c r="K118" s="5"/>
      <c r="L118" s="5"/>
      <c r="M118" s="5"/>
      <c r="N118" s="6"/>
      <c r="O118" s="6"/>
      <c r="P118" s="6"/>
      <c r="Q118" s="6"/>
      <c r="R118" s="6"/>
      <c r="S118" s="6"/>
    </row>
    <row r="119" spans="1:19" x14ac:dyDescent="0.2">
      <c r="A119" s="6"/>
      <c r="B119" s="5" t="s">
        <v>222</v>
      </c>
      <c r="C119" s="143">
        <f>AVERAGE(I112:I115)</f>
        <v>1.9623536423170262</v>
      </c>
      <c r="D119" s="5"/>
      <c r="E119" s="5"/>
      <c r="F119" s="5"/>
      <c r="G119" s="5"/>
      <c r="H119" s="5"/>
      <c r="I119" s="143"/>
      <c r="J119" s="5"/>
      <c r="K119" s="143"/>
      <c r="L119" s="5"/>
      <c r="M119" s="5"/>
      <c r="N119" s="6"/>
      <c r="O119" s="6"/>
      <c r="P119" s="6"/>
      <c r="Q119" s="6"/>
      <c r="R119" s="6"/>
      <c r="S119" s="6"/>
    </row>
    <row r="120" spans="1:19" x14ac:dyDescent="0.2">
      <c r="A120" s="6"/>
      <c r="B120" s="5"/>
      <c r="D120" s="5"/>
      <c r="E120" s="5"/>
      <c r="F120" s="5"/>
      <c r="G120" s="5"/>
      <c r="H120" s="5"/>
      <c r="I120" s="143"/>
      <c r="J120" s="5"/>
      <c r="K120" s="143"/>
      <c r="L120" s="5"/>
      <c r="M120" s="5"/>
      <c r="N120" s="6"/>
      <c r="O120" s="6"/>
      <c r="P120" s="6"/>
      <c r="Q120" s="6"/>
      <c r="R120" s="6"/>
      <c r="S120" s="6"/>
    </row>
    <row r="121" spans="1:19" x14ac:dyDescent="0.2">
      <c r="A121" s="6"/>
      <c r="B121" s="5" t="s">
        <v>223</v>
      </c>
      <c r="C121" s="145">
        <f>F87/F90</f>
        <v>5.0844931535439036E-2</v>
      </c>
      <c r="D121" s="5"/>
      <c r="E121" s="5"/>
      <c r="F121" s="5"/>
      <c r="G121" s="5"/>
      <c r="H121" s="5"/>
      <c r="I121" s="146"/>
      <c r="J121" s="5"/>
      <c r="K121" s="140"/>
      <c r="L121" s="5"/>
      <c r="M121" s="5"/>
      <c r="N121" s="6"/>
      <c r="O121" s="6"/>
      <c r="P121" s="6"/>
      <c r="Q121" s="6"/>
      <c r="R121" s="6"/>
      <c r="S121" s="6"/>
    </row>
    <row r="122" spans="1:19" x14ac:dyDescent="0.2">
      <c r="A122" s="6"/>
      <c r="B122" s="5" t="s">
        <v>224</v>
      </c>
      <c r="C122" s="140">
        <f>K112</f>
        <v>0.25</v>
      </c>
      <c r="D122" s="5"/>
      <c r="E122" s="5"/>
      <c r="F122" s="5"/>
      <c r="G122" s="5"/>
      <c r="H122" s="5"/>
      <c r="I122" s="144"/>
      <c r="J122" s="5"/>
      <c r="K122" s="6"/>
      <c r="L122" s="5"/>
      <c r="M122" s="5"/>
      <c r="N122" s="6"/>
      <c r="O122" s="6"/>
      <c r="P122" s="6"/>
      <c r="Q122" s="6"/>
      <c r="R122" s="6"/>
      <c r="S122" s="6"/>
    </row>
    <row r="123" spans="1:19" x14ac:dyDescent="0.2">
      <c r="A123" s="6"/>
      <c r="B123" s="111" t="s">
        <v>225</v>
      </c>
      <c r="C123" s="145">
        <f>C119*(1+C121*(1-C122%))</f>
        <v>2.0618799395674752</v>
      </c>
      <c r="D123" s="5"/>
      <c r="E123" s="5"/>
      <c r="F123" s="5"/>
      <c r="G123" s="5"/>
      <c r="H123" s="5"/>
      <c r="I123" s="143"/>
      <c r="J123" s="5"/>
      <c r="K123" s="147"/>
      <c r="L123" s="5"/>
      <c r="M123" s="5"/>
      <c r="N123" s="6"/>
      <c r="O123" s="6"/>
      <c r="P123" s="6"/>
      <c r="Q123" s="6"/>
      <c r="R123" s="6"/>
      <c r="S123" s="6"/>
    </row>
    <row r="124" spans="1:19" x14ac:dyDescent="0.2">
      <c r="A124" s="6"/>
      <c r="B124" s="6"/>
      <c r="C124" s="6"/>
      <c r="D124" s="6"/>
      <c r="E124" s="6"/>
      <c r="F124" s="6"/>
      <c r="G124" s="6"/>
      <c r="H124" s="6"/>
      <c r="I124" s="6"/>
      <c r="J124" s="6"/>
      <c r="K124" s="6"/>
      <c r="L124" s="6"/>
      <c r="M124" s="6"/>
      <c r="N124" s="6"/>
      <c r="O124" s="6"/>
      <c r="P124" s="6"/>
      <c r="Q124" s="6"/>
      <c r="R124" s="6"/>
      <c r="S124" s="6"/>
    </row>
    <row r="125" spans="1:19" x14ac:dyDescent="0.2">
      <c r="A125" s="6" t="s">
        <v>104</v>
      </c>
      <c r="B125" s="16" t="s">
        <v>226</v>
      </c>
      <c r="C125" s="17"/>
      <c r="D125" s="16"/>
      <c r="E125" s="16"/>
      <c r="F125" s="17"/>
      <c r="G125" s="17"/>
      <c r="H125" s="17"/>
      <c r="I125" s="17"/>
      <c r="J125" s="17"/>
      <c r="K125" s="17"/>
      <c r="L125" s="17"/>
      <c r="M125" s="17"/>
      <c r="N125" s="17"/>
      <c r="O125" s="17"/>
      <c r="P125" s="6"/>
      <c r="Q125" s="6"/>
      <c r="R125" s="6"/>
      <c r="S125" s="6"/>
    </row>
    <row r="126" spans="1:19" x14ac:dyDescent="0.2">
      <c r="A126" s="6"/>
      <c r="B126" s="6"/>
      <c r="C126" s="6"/>
      <c r="D126" s="6"/>
      <c r="E126" s="6"/>
      <c r="F126" s="6"/>
      <c r="G126" s="6"/>
      <c r="H126" s="6"/>
      <c r="I126" s="6"/>
      <c r="J126" s="6"/>
      <c r="K126" s="6"/>
      <c r="L126" s="6"/>
      <c r="M126" s="6"/>
      <c r="N126" s="6"/>
      <c r="O126" s="6"/>
      <c r="P126" s="6"/>
      <c r="Q126" s="6"/>
      <c r="R126" s="6"/>
      <c r="S126" s="6"/>
    </row>
    <row r="127" spans="1:19" x14ac:dyDescent="0.2">
      <c r="A127" s="6"/>
      <c r="B127" s="360" t="s">
        <v>227</v>
      </c>
      <c r="C127" s="361" t="s">
        <v>227</v>
      </c>
      <c r="D127" s="361" t="s">
        <v>227</v>
      </c>
      <c r="E127" s="361" t="s">
        <v>227</v>
      </c>
      <c r="F127" s="361" t="s">
        <v>227</v>
      </c>
      <c r="G127" s="361" t="s">
        <v>227</v>
      </c>
      <c r="H127" s="361" t="s">
        <v>227</v>
      </c>
      <c r="I127" s="361" t="s">
        <v>227</v>
      </c>
      <c r="J127" s="361" t="s">
        <v>227</v>
      </c>
      <c r="K127" s="361" t="s">
        <v>227</v>
      </c>
      <c r="L127" s="361" t="s">
        <v>227</v>
      </c>
      <c r="M127" s="362" t="s">
        <v>227</v>
      </c>
      <c r="N127" s="6"/>
      <c r="O127" s="6"/>
      <c r="P127" s="6"/>
      <c r="Q127" s="6"/>
      <c r="R127" s="6"/>
      <c r="S127" s="6"/>
    </row>
    <row r="128" spans="1:19" x14ac:dyDescent="0.2">
      <c r="A128" s="6"/>
      <c r="B128" s="363" t="s">
        <v>228</v>
      </c>
      <c r="C128" s="365">
        <v>0.01</v>
      </c>
      <c r="D128" s="364"/>
      <c r="E128" s="364"/>
      <c r="F128" s="364"/>
      <c r="G128" s="364"/>
      <c r="H128" s="364"/>
      <c r="I128" s="364"/>
      <c r="J128" s="364"/>
      <c r="K128" s="364"/>
      <c r="L128" s="364"/>
      <c r="M128" s="366" t="s">
        <v>227</v>
      </c>
      <c r="N128" s="6"/>
      <c r="O128" s="6"/>
      <c r="P128" s="6"/>
      <c r="Q128" s="6"/>
      <c r="R128" s="6"/>
      <c r="S128" s="6"/>
    </row>
    <row r="129" spans="1:19" x14ac:dyDescent="0.2">
      <c r="A129" s="6"/>
      <c r="B129" s="363" t="s">
        <v>229</v>
      </c>
      <c r="C129" s="367">
        <v>2.5000000000000001E-3</v>
      </c>
      <c r="D129" s="364"/>
      <c r="E129" s="364"/>
      <c r="F129" s="364"/>
      <c r="G129" s="364"/>
      <c r="H129" s="364"/>
      <c r="I129" s="364"/>
      <c r="J129" s="364"/>
      <c r="K129" s="364"/>
      <c r="L129" s="364"/>
      <c r="M129" s="366" t="s">
        <v>227</v>
      </c>
      <c r="N129" s="6"/>
      <c r="O129" s="6"/>
      <c r="P129" s="6"/>
      <c r="Q129" s="6"/>
      <c r="R129" s="6"/>
      <c r="S129" s="6"/>
    </row>
    <row r="130" spans="1:19" x14ac:dyDescent="0.2">
      <c r="A130" s="6"/>
      <c r="B130" s="363" t="s">
        <v>227</v>
      </c>
      <c r="C130" s="364"/>
      <c r="D130" s="364"/>
      <c r="E130" s="364"/>
      <c r="F130" s="364"/>
      <c r="G130" s="368" t="s">
        <v>189</v>
      </c>
      <c r="H130" s="364"/>
      <c r="I130" s="364"/>
      <c r="J130" s="364"/>
      <c r="K130" s="364"/>
      <c r="L130" s="364"/>
      <c r="M130" s="366" t="s">
        <v>227</v>
      </c>
      <c r="N130" s="6"/>
      <c r="O130" s="6"/>
      <c r="P130" s="6"/>
      <c r="Q130" s="6"/>
      <c r="R130" s="6"/>
      <c r="S130" s="6"/>
    </row>
    <row r="131" spans="1:19" x14ac:dyDescent="0.2">
      <c r="A131" s="6"/>
      <c r="B131" s="363" t="s">
        <v>227</v>
      </c>
      <c r="C131" s="369">
        <v>719</v>
      </c>
      <c r="D131" s="370">
        <v>9.4E-2</v>
      </c>
      <c r="E131" s="370">
        <v>0.104</v>
      </c>
      <c r="F131" s="370">
        <v>0.114</v>
      </c>
      <c r="G131" s="371">
        <v>0.124</v>
      </c>
      <c r="H131" s="370">
        <v>0.13400000000000001</v>
      </c>
      <c r="I131" s="370">
        <v>0.14399999999999999</v>
      </c>
      <c r="J131" s="370">
        <v>0.154</v>
      </c>
      <c r="K131" s="370">
        <v>0.16400000000000001</v>
      </c>
      <c r="L131" s="370">
        <v>0.17399999999999999</v>
      </c>
      <c r="M131" s="366" t="s">
        <v>227</v>
      </c>
      <c r="N131" s="6"/>
      <c r="O131" s="6"/>
      <c r="P131" s="6"/>
      <c r="Q131" s="6"/>
      <c r="R131" s="6"/>
      <c r="S131" s="6"/>
    </row>
    <row r="132" spans="1:19" x14ac:dyDescent="0.2">
      <c r="A132" s="6"/>
      <c r="B132" s="363" t="s">
        <v>227</v>
      </c>
      <c r="C132" s="372">
        <v>0.05</v>
      </c>
      <c r="D132" s="373">
        <v>1467.17</v>
      </c>
      <c r="E132" s="373">
        <v>1165.45</v>
      </c>
      <c r="F132" s="364">
        <v>958.19</v>
      </c>
      <c r="G132" s="364">
        <v>807.07</v>
      </c>
      <c r="H132" s="364">
        <v>692.05</v>
      </c>
      <c r="I132" s="364">
        <v>601.6</v>
      </c>
      <c r="J132" s="364">
        <v>528.63</v>
      </c>
      <c r="K132" s="364">
        <v>468.53</v>
      </c>
      <c r="L132" s="364">
        <v>418.19</v>
      </c>
      <c r="M132" s="366" t="s">
        <v>227</v>
      </c>
      <c r="N132" s="6"/>
      <c r="O132" s="6"/>
      <c r="P132" s="6"/>
      <c r="Q132" s="6"/>
      <c r="R132" s="6"/>
      <c r="S132" s="6"/>
    </row>
    <row r="133" spans="1:19" x14ac:dyDescent="0.2">
      <c r="A133" s="6"/>
      <c r="B133" s="363" t="s">
        <v>227</v>
      </c>
      <c r="C133" s="372">
        <v>4.7500000000000001E-2</v>
      </c>
      <c r="D133" s="373">
        <v>1392.69</v>
      </c>
      <c r="E133" s="373">
        <v>1117.3</v>
      </c>
      <c r="F133" s="364">
        <v>924.89</v>
      </c>
      <c r="G133" s="364">
        <v>782.92</v>
      </c>
      <c r="H133" s="364">
        <v>673.89</v>
      </c>
      <c r="I133" s="364">
        <v>587.54999999999995</v>
      </c>
      <c r="J133" s="364">
        <v>517.52</v>
      </c>
      <c r="K133" s="364">
        <v>459.58</v>
      </c>
      <c r="L133" s="364">
        <v>410.86</v>
      </c>
      <c r="M133" s="366" t="s">
        <v>227</v>
      </c>
      <c r="N133" s="6"/>
      <c r="O133" s="6"/>
      <c r="P133" s="6"/>
      <c r="Q133" s="6"/>
      <c r="R133" s="6"/>
      <c r="S133" s="6"/>
    </row>
    <row r="134" spans="1:19" x14ac:dyDescent="0.2">
      <c r="A134" s="6"/>
      <c r="B134" s="363" t="s">
        <v>227</v>
      </c>
      <c r="C134" s="372">
        <v>4.4999999999999998E-2</v>
      </c>
      <c r="D134" s="373">
        <v>1325.82</v>
      </c>
      <c r="E134" s="373">
        <v>1073.22</v>
      </c>
      <c r="F134" s="364">
        <v>894</v>
      </c>
      <c r="G134" s="364">
        <v>760.29</v>
      </c>
      <c r="H134" s="364">
        <v>656.74</v>
      </c>
      <c r="I134" s="364">
        <v>574.22</v>
      </c>
      <c r="J134" s="364">
        <v>506.92</v>
      </c>
      <c r="K134" s="364">
        <v>451</v>
      </c>
      <c r="L134" s="364">
        <v>403.82</v>
      </c>
      <c r="M134" s="366" t="s">
        <v>227</v>
      </c>
      <c r="N134" s="6"/>
      <c r="O134" s="6"/>
      <c r="P134" s="6"/>
      <c r="Q134" s="6"/>
      <c r="R134" s="6"/>
      <c r="S134" s="6"/>
    </row>
    <row r="135" spans="1:19" x14ac:dyDescent="0.2">
      <c r="A135" s="6"/>
      <c r="B135" s="363" t="s">
        <v>227</v>
      </c>
      <c r="C135" s="372">
        <v>4.2500000000000003E-2</v>
      </c>
      <c r="D135" s="373">
        <v>1265.44</v>
      </c>
      <c r="E135" s="373">
        <v>1032.73</v>
      </c>
      <c r="F135" s="364">
        <v>865.28</v>
      </c>
      <c r="G135" s="364">
        <v>739.05</v>
      </c>
      <c r="H135" s="364">
        <v>640.54</v>
      </c>
      <c r="I135" s="364">
        <v>561.53</v>
      </c>
      <c r="J135" s="364">
        <v>496.79</v>
      </c>
      <c r="K135" s="364">
        <v>442.78</v>
      </c>
      <c r="L135" s="364">
        <v>397.05</v>
      </c>
      <c r="M135" s="366" t="s">
        <v>227</v>
      </c>
      <c r="N135" s="6"/>
      <c r="O135" s="6"/>
      <c r="P135" s="6"/>
      <c r="Q135" s="6"/>
      <c r="R135" s="6"/>
      <c r="S135" s="6"/>
    </row>
    <row r="136" spans="1:19" x14ac:dyDescent="0.2">
      <c r="A136" s="6"/>
      <c r="B136" s="363" t="s">
        <v>227</v>
      </c>
      <c r="C136" s="374">
        <v>0.04</v>
      </c>
      <c r="D136" s="373">
        <v>1210.6500000000001</v>
      </c>
      <c r="E136" s="364">
        <v>995.4</v>
      </c>
      <c r="F136" s="364">
        <v>838.49</v>
      </c>
      <c r="G136" s="368">
        <v>719.08</v>
      </c>
      <c r="H136" s="364">
        <v>625.19000000000005</v>
      </c>
      <c r="I136" s="364">
        <v>549.46</v>
      </c>
      <c r="J136" s="364">
        <v>487.11</v>
      </c>
      <c r="K136" s="364">
        <v>434.89</v>
      </c>
      <c r="L136" s="364">
        <v>390.53</v>
      </c>
      <c r="M136" s="366" t="s">
        <v>227</v>
      </c>
      <c r="N136" s="6"/>
      <c r="O136" s="6"/>
      <c r="P136" s="6"/>
      <c r="Q136" s="6"/>
      <c r="R136" s="6"/>
      <c r="S136" s="6"/>
    </row>
    <row r="137" spans="1:19" x14ac:dyDescent="0.2">
      <c r="A137" s="6"/>
      <c r="B137" s="363" t="s">
        <v>227</v>
      </c>
      <c r="C137" s="372">
        <v>3.7499999999999999E-2</v>
      </c>
      <c r="D137" s="373">
        <v>1160.71</v>
      </c>
      <c r="E137" s="364">
        <v>960.88</v>
      </c>
      <c r="F137" s="364">
        <v>813.46</v>
      </c>
      <c r="G137" s="364">
        <v>700.26</v>
      </c>
      <c r="H137" s="364">
        <v>610.64</v>
      </c>
      <c r="I137" s="364">
        <v>537.96</v>
      </c>
      <c r="J137" s="364">
        <v>477.84</v>
      </c>
      <c r="K137" s="364">
        <v>427.31</v>
      </c>
      <c r="L137" s="364">
        <v>384.25</v>
      </c>
      <c r="M137" s="366" t="s">
        <v>227</v>
      </c>
      <c r="N137" s="6"/>
      <c r="O137" s="6"/>
      <c r="P137" s="6"/>
      <c r="Q137" s="6"/>
      <c r="R137" s="6"/>
      <c r="S137" s="6"/>
    </row>
    <row r="138" spans="1:19" x14ac:dyDescent="0.2">
      <c r="A138" s="6"/>
      <c r="B138" s="363" t="s">
        <v>227</v>
      </c>
      <c r="C138" s="372">
        <v>3.5000000000000003E-2</v>
      </c>
      <c r="D138" s="373">
        <v>1115</v>
      </c>
      <c r="E138" s="364">
        <v>928.86</v>
      </c>
      <c r="F138" s="364">
        <v>790.01</v>
      </c>
      <c r="G138" s="364">
        <v>682.5</v>
      </c>
      <c r="H138" s="364">
        <v>596.83000000000004</v>
      </c>
      <c r="I138" s="364">
        <v>526.98</v>
      </c>
      <c r="J138" s="364">
        <v>468.96</v>
      </c>
      <c r="K138" s="364">
        <v>420.02</v>
      </c>
      <c r="L138" s="364">
        <v>378.19</v>
      </c>
      <c r="M138" s="366" t="s">
        <v>227</v>
      </c>
      <c r="N138" s="6"/>
      <c r="O138" s="6"/>
      <c r="P138" s="6"/>
      <c r="Q138" s="6"/>
      <c r="R138" s="6"/>
      <c r="S138" s="6"/>
    </row>
    <row r="139" spans="1:19" x14ac:dyDescent="0.2">
      <c r="A139" s="6"/>
      <c r="B139" s="363" t="s">
        <v>227</v>
      </c>
      <c r="C139" s="372">
        <v>3.2500000000000001E-2</v>
      </c>
      <c r="D139" s="373">
        <v>1073.01</v>
      </c>
      <c r="E139" s="364">
        <v>899.08</v>
      </c>
      <c r="F139" s="364">
        <v>767.99</v>
      </c>
      <c r="G139" s="364">
        <v>665.7</v>
      </c>
      <c r="H139" s="364">
        <v>583.69000000000005</v>
      </c>
      <c r="I139" s="364">
        <v>516.49</v>
      </c>
      <c r="J139" s="364">
        <v>460.45</v>
      </c>
      <c r="K139" s="364">
        <v>413.01</v>
      </c>
      <c r="L139" s="364">
        <v>372.35</v>
      </c>
      <c r="M139" s="366" t="s">
        <v>227</v>
      </c>
      <c r="N139" s="6"/>
      <c r="O139" s="6"/>
      <c r="P139" s="6"/>
      <c r="Q139" s="6"/>
      <c r="R139" s="6"/>
      <c r="S139" s="6"/>
    </row>
    <row r="140" spans="1:19" x14ac:dyDescent="0.2">
      <c r="A140" s="6"/>
      <c r="B140" s="363" t="s">
        <v>227</v>
      </c>
      <c r="C140" s="372">
        <v>0.03</v>
      </c>
      <c r="D140" s="373">
        <v>1034.29</v>
      </c>
      <c r="E140" s="364">
        <v>871.31</v>
      </c>
      <c r="F140" s="364">
        <v>747.29</v>
      </c>
      <c r="G140" s="364">
        <v>649.80999999999995</v>
      </c>
      <c r="H140" s="364">
        <v>571.19000000000005</v>
      </c>
      <c r="I140" s="364">
        <v>506.47</v>
      </c>
      <c r="J140" s="364">
        <v>452.28</v>
      </c>
      <c r="K140" s="364">
        <v>406.27</v>
      </c>
      <c r="L140" s="364">
        <v>366.71</v>
      </c>
      <c r="M140" s="366" t="s">
        <v>227</v>
      </c>
      <c r="N140" s="6"/>
      <c r="O140" s="6"/>
      <c r="P140" s="6"/>
      <c r="Q140" s="6"/>
      <c r="R140" s="6"/>
      <c r="S140" s="6"/>
    </row>
    <row r="141" spans="1:19" x14ac:dyDescent="0.2">
      <c r="A141" s="6"/>
      <c r="B141" s="363" t="s">
        <v>227</v>
      </c>
      <c r="C141" s="372">
        <v>2.75E-2</v>
      </c>
      <c r="D141" s="364">
        <v>998.49</v>
      </c>
      <c r="E141" s="364">
        <v>845.35</v>
      </c>
      <c r="F141" s="364">
        <v>727.79</v>
      </c>
      <c r="G141" s="364">
        <v>634.73</v>
      </c>
      <c r="H141" s="364">
        <v>559.27</v>
      </c>
      <c r="I141" s="364">
        <v>496.87</v>
      </c>
      <c r="J141" s="364">
        <v>444.44</v>
      </c>
      <c r="K141" s="364">
        <v>399.77</v>
      </c>
      <c r="L141" s="364">
        <v>361.27</v>
      </c>
      <c r="M141" s="366" t="s">
        <v>227</v>
      </c>
      <c r="N141" s="6"/>
      <c r="O141" s="6"/>
      <c r="P141" s="6"/>
      <c r="Q141" s="6"/>
      <c r="R141" s="6"/>
      <c r="S141" s="6"/>
    </row>
    <row r="142" spans="1:19" x14ac:dyDescent="0.2">
      <c r="A142" s="6"/>
      <c r="B142" s="363" t="s">
        <v>227</v>
      </c>
      <c r="C142" s="372">
        <v>2.5000000000000001E-2</v>
      </c>
      <c r="D142" s="364">
        <v>965.28</v>
      </c>
      <c r="E142" s="364">
        <v>821.04</v>
      </c>
      <c r="F142" s="364">
        <v>709.38</v>
      </c>
      <c r="G142" s="364">
        <v>620.41999999999996</v>
      </c>
      <c r="H142" s="364">
        <v>547.9</v>
      </c>
      <c r="I142" s="364">
        <v>487.68</v>
      </c>
      <c r="J142" s="364">
        <v>436.9</v>
      </c>
      <c r="K142" s="364">
        <v>393.5</v>
      </c>
      <c r="L142" s="364">
        <v>356</v>
      </c>
      <c r="M142" s="366" t="s">
        <v>227</v>
      </c>
      <c r="N142" s="6"/>
      <c r="O142" s="6"/>
      <c r="P142" s="6"/>
      <c r="Q142" s="6"/>
      <c r="R142" s="6"/>
      <c r="S142" s="6"/>
    </row>
    <row r="143" spans="1:19" x14ac:dyDescent="0.2">
      <c r="A143" s="6"/>
      <c r="B143" s="375" t="s">
        <v>227</v>
      </c>
      <c r="C143" s="376" t="s">
        <v>227</v>
      </c>
      <c r="D143" s="376" t="s">
        <v>227</v>
      </c>
      <c r="E143" s="376" t="s">
        <v>227</v>
      </c>
      <c r="F143" s="376" t="s">
        <v>227</v>
      </c>
      <c r="G143" s="376" t="s">
        <v>227</v>
      </c>
      <c r="H143" s="376" t="s">
        <v>227</v>
      </c>
      <c r="I143" s="376" t="s">
        <v>227</v>
      </c>
      <c r="J143" s="376" t="s">
        <v>227</v>
      </c>
      <c r="K143" s="376" t="s">
        <v>227</v>
      </c>
      <c r="L143" s="376" t="s">
        <v>227</v>
      </c>
      <c r="M143" s="377" t="s">
        <v>227</v>
      </c>
      <c r="N143" s="6"/>
      <c r="O143" s="6"/>
      <c r="P143" s="6"/>
      <c r="Q143" s="6"/>
      <c r="R143" s="6"/>
      <c r="S143" s="6"/>
    </row>
    <row r="144" spans="1:19" x14ac:dyDescent="0.2">
      <c r="A144" s="6"/>
      <c r="B144" s="6"/>
      <c r="C144" s="6"/>
      <c r="D144" s="6"/>
      <c r="E144" s="6"/>
      <c r="F144" s="6"/>
      <c r="G144" s="6"/>
      <c r="H144" s="6"/>
      <c r="I144" s="6"/>
      <c r="J144" s="6"/>
      <c r="K144" s="6"/>
      <c r="L144" s="6"/>
      <c r="M144" s="6"/>
      <c r="N144" s="6"/>
      <c r="O144" s="6"/>
      <c r="P144" s="6"/>
      <c r="Q144" s="6"/>
      <c r="R144" s="6"/>
      <c r="S144" s="6"/>
    </row>
    <row r="145" spans="1:19" x14ac:dyDescent="0.2">
      <c r="A145" s="6"/>
      <c r="B145" s="6"/>
      <c r="C145" s="6"/>
      <c r="D145" s="6"/>
      <c r="E145" s="6"/>
      <c r="F145" s="6"/>
      <c r="G145" s="6"/>
      <c r="H145" s="6"/>
      <c r="I145" s="6"/>
      <c r="J145" s="6"/>
      <c r="K145" s="6"/>
      <c r="L145" s="6"/>
      <c r="M145" s="6"/>
      <c r="N145" s="6"/>
      <c r="O145" s="6"/>
      <c r="P145" s="6"/>
      <c r="Q145" s="6"/>
      <c r="R145" s="6"/>
      <c r="S145" s="6"/>
    </row>
    <row r="146" spans="1:19" x14ac:dyDescent="0.2">
      <c r="A146" s="6"/>
      <c r="B146" s="6"/>
      <c r="C146" s="6"/>
      <c r="D146" s="6"/>
      <c r="E146" s="6"/>
      <c r="F146" s="6"/>
      <c r="G146" s="6"/>
      <c r="H146" s="6"/>
      <c r="I146" s="6"/>
      <c r="J146" s="6"/>
      <c r="K146" s="6"/>
      <c r="L146" s="6"/>
      <c r="M146" s="6"/>
      <c r="N146" s="6"/>
      <c r="O146" s="6"/>
      <c r="P146" s="6"/>
      <c r="Q146" s="6"/>
      <c r="R146" s="6"/>
      <c r="S146" s="6"/>
    </row>
    <row r="147" spans="1:19" x14ac:dyDescent="0.2">
      <c r="A147" s="6"/>
      <c r="B147" s="148" t="s">
        <v>230</v>
      </c>
      <c r="C147" s="149">
        <v>1</v>
      </c>
      <c r="D147" s="6"/>
      <c r="E147" s="6"/>
      <c r="F147" s="6"/>
      <c r="G147" s="6"/>
      <c r="H147" s="6"/>
      <c r="I147" s="6"/>
      <c r="J147" s="6"/>
      <c r="K147" s="6"/>
      <c r="L147" s="6"/>
      <c r="M147" s="6"/>
      <c r="N147" s="6"/>
      <c r="O147" s="6"/>
      <c r="P147" s="6"/>
      <c r="Q147" s="6"/>
      <c r="R147" s="6"/>
      <c r="S147" s="6"/>
    </row>
    <row r="148" spans="1:19" x14ac:dyDescent="0.2">
      <c r="A148" s="6"/>
      <c r="B148" s="6"/>
      <c r="C148" s="6"/>
      <c r="D148" s="6"/>
      <c r="E148" s="6"/>
      <c r="F148" s="6"/>
      <c r="G148" s="6"/>
      <c r="H148" s="6"/>
      <c r="I148" s="6"/>
      <c r="J148" s="6"/>
      <c r="K148" s="6"/>
      <c r="L148" s="6"/>
      <c r="M148" s="6"/>
      <c r="N148" s="6"/>
      <c r="O148" s="6"/>
      <c r="P148" s="6"/>
      <c r="Q148" s="6"/>
      <c r="R148" s="6"/>
      <c r="S148" s="6"/>
    </row>
    <row r="149" spans="1:19" x14ac:dyDescent="0.2">
      <c r="A149" s="6"/>
      <c r="B149" s="6"/>
      <c r="C149" s="6"/>
      <c r="D149" s="6"/>
      <c r="E149" s="6"/>
      <c r="F149" s="6"/>
      <c r="G149" s="6" t="s">
        <v>231</v>
      </c>
      <c r="H149" s="6"/>
      <c r="I149" s="6"/>
      <c r="J149" s="6"/>
      <c r="K149" s="6"/>
      <c r="L149" s="6"/>
      <c r="M149" s="6"/>
      <c r="N149" s="6"/>
      <c r="O149" s="6"/>
      <c r="P149" s="6"/>
      <c r="Q149" s="6"/>
      <c r="R149" s="6"/>
      <c r="S149" s="6"/>
    </row>
    <row r="150" spans="1:19" x14ac:dyDescent="0.2">
      <c r="A150" s="6"/>
      <c r="B150" s="6"/>
      <c r="C150" s="6">
        <f>D150-$C$147</f>
        <v>12.600000000000001</v>
      </c>
      <c r="D150" s="6">
        <f>E150-$C$147</f>
        <v>13.600000000000001</v>
      </c>
      <c r="E150" s="6">
        <f>F150-$C$147</f>
        <v>14.600000000000001</v>
      </c>
      <c r="F150" s="6">
        <f>G150-$C$147</f>
        <v>15.600000000000001</v>
      </c>
      <c r="G150" s="149">
        <v>16.600000000000001</v>
      </c>
      <c r="H150" s="6">
        <f>G150+$C$147</f>
        <v>17.600000000000001</v>
      </c>
      <c r="I150" s="6">
        <f>H150+$C$147</f>
        <v>18.600000000000001</v>
      </c>
      <c r="J150" s="6">
        <f>I150+$C$147</f>
        <v>19.600000000000001</v>
      </c>
      <c r="K150" s="6">
        <f>J150+$C$147</f>
        <v>20.6</v>
      </c>
      <c r="L150" s="6"/>
      <c r="M150" s="6"/>
      <c r="N150" s="6"/>
      <c r="O150" s="6"/>
      <c r="P150" s="6"/>
      <c r="Q150" s="6"/>
      <c r="R150" s="6"/>
      <c r="S150" s="6"/>
    </row>
    <row r="151" spans="1:19" x14ac:dyDescent="0.2">
      <c r="A151" s="6"/>
      <c r="B151" s="150">
        <f>N60</f>
        <v>1097.1555835004567</v>
      </c>
      <c r="C151" s="358">
        <f>$B$151*(1+(C150/10))</f>
        <v>2479.5716187110324</v>
      </c>
      <c r="D151" s="358">
        <f t="shared" ref="D151:K151" si="23">$B$151*(1+(D150/10))</f>
        <v>2589.2871770610782</v>
      </c>
      <c r="E151" s="358">
        <f t="shared" si="23"/>
        <v>2699.0027354111235</v>
      </c>
      <c r="F151" s="358">
        <f t="shared" si="23"/>
        <v>2808.7182937611692</v>
      </c>
      <c r="G151" s="358">
        <f t="shared" si="23"/>
        <v>2918.4338521112149</v>
      </c>
      <c r="H151" s="358">
        <f t="shared" si="23"/>
        <v>3028.1494104612607</v>
      </c>
      <c r="I151" s="358">
        <f t="shared" si="23"/>
        <v>3137.8649688113064</v>
      </c>
      <c r="J151" s="358">
        <f t="shared" si="23"/>
        <v>3247.5805271613517</v>
      </c>
      <c r="K151" s="358">
        <f t="shared" si="23"/>
        <v>3357.2960855113975</v>
      </c>
      <c r="L151" s="6"/>
      <c r="M151" s="6"/>
      <c r="N151" s="6"/>
      <c r="O151" s="6"/>
      <c r="P151" s="6"/>
      <c r="Q151" s="6"/>
      <c r="R151" s="6"/>
      <c r="S151" s="6"/>
    </row>
    <row r="152" spans="1:19" x14ac:dyDescent="0.2">
      <c r="A152" s="6"/>
      <c r="B152" s="6"/>
      <c r="C152" s="6"/>
      <c r="D152" s="6"/>
      <c r="E152" s="6"/>
      <c r="F152" s="6"/>
      <c r="G152" s="6"/>
      <c r="H152" s="6"/>
      <c r="I152" s="6"/>
      <c r="J152" s="6"/>
      <c r="K152" s="6"/>
      <c r="L152" s="6"/>
      <c r="M152" s="6"/>
      <c r="N152" s="6"/>
      <c r="O152" s="6"/>
      <c r="P152" s="6"/>
      <c r="Q152" s="6"/>
      <c r="R152" s="6"/>
      <c r="S152" s="6"/>
    </row>
    <row r="153" spans="1:19" x14ac:dyDescent="0.2">
      <c r="A153" s="6"/>
      <c r="B153" s="6"/>
      <c r="C153" s="6"/>
      <c r="D153" s="6"/>
      <c r="E153" s="6"/>
      <c r="F153" s="6"/>
      <c r="G153" s="6"/>
      <c r="H153" s="6"/>
      <c r="I153" s="6"/>
      <c r="J153" s="6"/>
      <c r="K153" s="6"/>
      <c r="L153" s="6"/>
      <c r="M153" s="6"/>
      <c r="N153" s="6"/>
      <c r="O153" s="6"/>
      <c r="P153" s="6"/>
      <c r="Q153" s="6"/>
      <c r="R153" s="6"/>
      <c r="S153" s="6"/>
    </row>
    <row r="154" spans="1:19" x14ac:dyDescent="0.2">
      <c r="A154" s="6"/>
      <c r="B154" s="6"/>
      <c r="C154" s="6"/>
      <c r="D154" s="6"/>
      <c r="E154" s="6"/>
      <c r="F154" s="6"/>
      <c r="G154" s="6"/>
      <c r="H154" s="6"/>
      <c r="I154" s="6"/>
      <c r="J154" s="6"/>
      <c r="K154" s="6"/>
      <c r="L154" s="6"/>
      <c r="M154" s="6"/>
      <c r="N154" s="6"/>
      <c r="O154" s="6"/>
      <c r="P154" s="6"/>
      <c r="Q154" s="6"/>
      <c r="R154" s="6"/>
      <c r="S154" s="6"/>
    </row>
    <row r="155" spans="1:19" x14ac:dyDescent="0.2">
      <c r="A155" s="6"/>
      <c r="B155" s="6"/>
      <c r="C155" s="6"/>
      <c r="D155" s="6"/>
      <c r="E155" s="6"/>
      <c r="F155" s="6"/>
      <c r="G155" s="6"/>
      <c r="H155" s="6"/>
      <c r="I155" s="6"/>
      <c r="J155" s="6"/>
      <c r="K155" s="6"/>
      <c r="L155" s="6"/>
      <c r="M155" s="6"/>
      <c r="N155" s="6"/>
      <c r="O155" s="6"/>
      <c r="P155" s="6"/>
      <c r="Q155" s="6"/>
      <c r="R155" s="6"/>
      <c r="S155" s="6"/>
    </row>
    <row r="156" spans="1:19" x14ac:dyDescent="0.2">
      <c r="A156" s="6"/>
      <c r="B156" s="6"/>
      <c r="C156" s="6"/>
      <c r="D156" s="6"/>
      <c r="E156" s="6"/>
      <c r="F156" s="6"/>
      <c r="G156" s="6"/>
      <c r="H156" s="6"/>
      <c r="I156" s="6"/>
      <c r="J156" s="6"/>
      <c r="K156" s="6"/>
      <c r="L156" s="6"/>
      <c r="M156" s="6"/>
      <c r="N156" s="6"/>
      <c r="O156" s="6"/>
      <c r="P156" s="6"/>
      <c r="Q156" s="6"/>
      <c r="R156" s="6"/>
      <c r="S156" s="6"/>
    </row>
    <row r="157" spans="1:19" x14ac:dyDescent="0.2">
      <c r="A157" s="6"/>
      <c r="B157" s="6"/>
      <c r="C157" s="6"/>
      <c r="D157" s="6"/>
      <c r="E157" s="6"/>
      <c r="F157" s="6"/>
      <c r="G157" s="6"/>
      <c r="H157" s="6"/>
      <c r="I157" s="6"/>
      <c r="J157" s="6"/>
      <c r="K157" s="6"/>
      <c r="L157" s="6"/>
      <c r="M157" s="6"/>
      <c r="N157" s="6"/>
      <c r="O157" s="6"/>
      <c r="P157" s="6"/>
      <c r="Q157" s="6"/>
      <c r="R157" s="6"/>
      <c r="S157" s="6"/>
    </row>
    <row r="158" spans="1:19" x14ac:dyDescent="0.2">
      <c r="A158" s="6"/>
      <c r="B158" s="6"/>
      <c r="C158" s="6"/>
      <c r="D158" s="6"/>
      <c r="E158" s="6"/>
      <c r="F158" s="6"/>
      <c r="G158" s="6"/>
      <c r="H158" s="6"/>
      <c r="I158" s="6"/>
      <c r="J158" s="6"/>
      <c r="K158" s="6"/>
      <c r="L158" s="6"/>
      <c r="M158" s="6"/>
      <c r="N158" s="6"/>
      <c r="O158" s="6"/>
      <c r="P158" s="6"/>
      <c r="Q158" s="6"/>
      <c r="R158" s="6"/>
      <c r="S158" s="6"/>
    </row>
    <row r="159" spans="1:19" x14ac:dyDescent="0.2">
      <c r="A159" s="6"/>
      <c r="B159" s="6"/>
      <c r="C159" s="6"/>
      <c r="D159" s="6"/>
      <c r="E159" s="6"/>
      <c r="F159" s="6"/>
      <c r="G159" s="6"/>
      <c r="H159" s="6"/>
      <c r="I159" s="6"/>
      <c r="J159" s="6"/>
      <c r="K159" s="6"/>
      <c r="L159" s="6"/>
      <c r="M159" s="6"/>
      <c r="N159" s="6"/>
      <c r="O159" s="6"/>
      <c r="P159" s="6"/>
      <c r="Q159" s="6"/>
      <c r="R159" s="6"/>
      <c r="S159" s="6"/>
    </row>
    <row r="160" spans="1:19" x14ac:dyDescent="0.2">
      <c r="A160" s="6"/>
      <c r="B160" s="6"/>
      <c r="C160" s="6"/>
      <c r="D160" s="6"/>
      <c r="E160" s="6"/>
      <c r="F160" s="6"/>
      <c r="G160" s="6"/>
      <c r="H160" s="6"/>
      <c r="I160" s="6"/>
      <c r="J160" s="6"/>
      <c r="K160" s="6"/>
      <c r="L160" s="6"/>
      <c r="M160" s="6"/>
      <c r="N160" s="6"/>
      <c r="O160" s="6"/>
      <c r="P160" s="6"/>
      <c r="Q160" s="6"/>
      <c r="R160" s="6"/>
      <c r="S160" s="6"/>
    </row>
    <row r="161" spans="1:19" x14ac:dyDescent="0.2">
      <c r="A161" s="6"/>
      <c r="B161" s="6"/>
      <c r="C161" s="6"/>
      <c r="D161" s="6"/>
      <c r="E161" s="6"/>
      <c r="F161" s="6"/>
      <c r="G161" s="6"/>
      <c r="H161" s="6"/>
      <c r="I161" s="6"/>
      <c r="J161" s="6"/>
      <c r="K161" s="6"/>
      <c r="L161" s="6"/>
      <c r="M161" s="6"/>
      <c r="N161" s="6"/>
      <c r="O161" s="6"/>
      <c r="P161" s="6"/>
      <c r="Q161" s="6"/>
      <c r="R161" s="6"/>
      <c r="S161" s="6"/>
    </row>
    <row r="162" spans="1:19" x14ac:dyDescent="0.2">
      <c r="A162" s="6"/>
      <c r="B162" s="6"/>
      <c r="C162" s="6"/>
      <c r="D162" s="6"/>
      <c r="E162" s="6"/>
      <c r="F162" s="6"/>
      <c r="G162" s="6"/>
      <c r="H162" s="6"/>
      <c r="I162" s="6"/>
      <c r="J162" s="6"/>
      <c r="K162" s="6"/>
      <c r="L162" s="6"/>
      <c r="M162" s="6"/>
      <c r="N162" s="6"/>
      <c r="O162" s="6"/>
      <c r="P162" s="6"/>
      <c r="Q162" s="6"/>
      <c r="R162" s="6"/>
      <c r="S162" s="6"/>
    </row>
    <row r="163" spans="1:19" x14ac:dyDescent="0.2">
      <c r="A163" s="6"/>
      <c r="B163" s="6"/>
      <c r="C163" s="6"/>
      <c r="D163" s="6"/>
      <c r="E163" s="6"/>
      <c r="F163" s="6"/>
      <c r="G163" s="6"/>
      <c r="H163" s="6"/>
      <c r="I163" s="6"/>
      <c r="J163" s="6"/>
      <c r="K163" s="6"/>
      <c r="L163" s="6"/>
      <c r="M163" s="6"/>
      <c r="N163" s="6"/>
      <c r="O163" s="6"/>
      <c r="P163" s="6"/>
      <c r="Q163" s="6"/>
      <c r="R163" s="6"/>
      <c r="S163" s="6"/>
    </row>
    <row r="164" spans="1:19" x14ac:dyDescent="0.2">
      <c r="A164" s="6" t="s">
        <v>104</v>
      </c>
      <c r="B164" s="151" t="s">
        <v>232</v>
      </c>
      <c r="C164" s="152"/>
      <c r="D164" s="151"/>
      <c r="E164" s="151"/>
      <c r="F164" s="152"/>
      <c r="G164" s="152"/>
      <c r="H164" s="152"/>
      <c r="I164" s="152"/>
      <c r="J164" s="152"/>
      <c r="K164" s="152"/>
      <c r="L164" s="152"/>
      <c r="M164" s="152"/>
      <c r="N164" s="152"/>
      <c r="O164" s="152"/>
      <c r="P164" s="152"/>
      <c r="Q164" s="152"/>
      <c r="R164" s="6"/>
      <c r="S164" s="6"/>
    </row>
    <row r="165" spans="1:19" x14ac:dyDescent="0.2">
      <c r="A165" s="6"/>
      <c r="B165" s="6"/>
      <c r="C165" s="6"/>
      <c r="D165" s="6"/>
      <c r="E165" s="6"/>
      <c r="F165" s="6"/>
      <c r="G165" s="6"/>
      <c r="H165" s="6"/>
      <c r="I165" s="6"/>
      <c r="J165" s="6"/>
      <c r="K165" s="6"/>
      <c r="L165" s="6"/>
      <c r="M165" s="6"/>
      <c r="N165" s="6"/>
      <c r="O165" s="6"/>
      <c r="P165" s="6"/>
      <c r="Q165" s="6"/>
      <c r="R165" s="6"/>
      <c r="S165" s="6"/>
    </row>
    <row r="166" spans="1:19" x14ac:dyDescent="0.2">
      <c r="A166" s="6"/>
      <c r="B166" s="6"/>
      <c r="C166" s="6"/>
      <c r="D166" s="6"/>
      <c r="E166" s="6"/>
      <c r="F166" s="6"/>
      <c r="G166" s="6"/>
      <c r="H166" s="6"/>
      <c r="I166" s="6"/>
      <c r="J166" s="6"/>
      <c r="K166" s="6"/>
      <c r="L166" s="6"/>
      <c r="M166" s="6"/>
      <c r="N166" s="6"/>
      <c r="O166" s="6"/>
      <c r="P166" s="6"/>
      <c r="Q166" s="6"/>
      <c r="R166" s="6"/>
      <c r="S166" s="6"/>
    </row>
    <row r="167" spans="1:19" x14ac:dyDescent="0.2">
      <c r="A167" s="6"/>
      <c r="B167" s="153"/>
      <c r="C167" s="153"/>
      <c r="D167" s="153"/>
      <c r="E167" s="153"/>
      <c r="F167" s="154" t="s">
        <v>233</v>
      </c>
      <c r="G167" s="155"/>
      <c r="H167" s="155"/>
      <c r="I167" s="156"/>
      <c r="J167" s="153"/>
      <c r="K167" s="154" t="s">
        <v>234</v>
      </c>
      <c r="L167" s="155"/>
      <c r="M167" s="155"/>
      <c r="N167" s="156"/>
      <c r="O167" s="153"/>
      <c r="P167" s="6"/>
      <c r="Q167" s="6"/>
      <c r="R167" s="6"/>
      <c r="S167" s="6"/>
    </row>
    <row r="168" spans="1:19" x14ac:dyDescent="0.2">
      <c r="A168" s="6"/>
      <c r="B168" s="6"/>
      <c r="C168" s="6"/>
      <c r="D168" s="6"/>
      <c r="E168" s="6"/>
      <c r="F168" s="157" t="s">
        <v>235</v>
      </c>
      <c r="G168" s="158"/>
      <c r="H168" s="158"/>
      <c r="I168" s="159">
        <v>37483</v>
      </c>
      <c r="J168" s="6"/>
      <c r="K168" s="157" t="s">
        <v>235</v>
      </c>
      <c r="L168" s="158"/>
      <c r="M168" s="158"/>
      <c r="N168" s="159">
        <v>37483</v>
      </c>
      <c r="O168" s="6"/>
      <c r="P168" s="6"/>
      <c r="Q168" s="6"/>
      <c r="R168" s="6"/>
      <c r="S168" s="6"/>
    </row>
    <row r="169" spans="1:19" x14ac:dyDescent="0.2">
      <c r="A169" s="6"/>
      <c r="B169" s="6"/>
      <c r="C169" s="6"/>
      <c r="D169" s="6"/>
      <c r="E169" s="6"/>
      <c r="F169" s="157" t="s">
        <v>236</v>
      </c>
      <c r="G169" s="158"/>
      <c r="H169" s="158"/>
      <c r="I169" s="159">
        <v>295</v>
      </c>
      <c r="J169" s="6"/>
      <c r="K169" s="157" t="s">
        <v>237</v>
      </c>
      <c r="L169" s="158"/>
      <c r="M169" s="158"/>
      <c r="N169" s="159">
        <v>295</v>
      </c>
      <c r="O169" s="6"/>
      <c r="P169" s="6"/>
      <c r="Q169" s="6"/>
      <c r="R169" s="6"/>
      <c r="S169" s="6"/>
    </row>
    <row r="170" spans="1:19" x14ac:dyDescent="0.2">
      <c r="A170" s="6"/>
      <c r="B170" s="6"/>
      <c r="C170" s="6"/>
      <c r="D170" s="6"/>
      <c r="E170" s="6"/>
      <c r="F170" s="157" t="s">
        <v>238</v>
      </c>
      <c r="G170" s="158"/>
      <c r="H170" s="158"/>
      <c r="I170" s="160">
        <v>1302.5999999999999</v>
      </c>
      <c r="J170" s="6"/>
      <c r="K170" s="157" t="s">
        <v>238</v>
      </c>
      <c r="L170" s="158"/>
      <c r="M170" s="158"/>
      <c r="N170" s="160">
        <v>1302.5999999999999</v>
      </c>
      <c r="O170" s="6"/>
      <c r="P170" s="6"/>
      <c r="Q170" s="6"/>
      <c r="R170" s="6"/>
      <c r="S170" s="6"/>
    </row>
    <row r="171" spans="1:19" x14ac:dyDescent="0.2">
      <c r="A171" s="6"/>
      <c r="B171" s="6"/>
      <c r="C171" s="6"/>
      <c r="D171" s="6"/>
      <c r="E171" s="6"/>
      <c r="F171" s="157" t="s">
        <v>2</v>
      </c>
      <c r="G171" s="158"/>
      <c r="H171" s="158"/>
      <c r="I171" s="80">
        <f>F88</f>
        <v>2906</v>
      </c>
      <c r="J171" s="6"/>
      <c r="K171" s="157" t="s">
        <v>2</v>
      </c>
      <c r="L171" s="158"/>
      <c r="M171" s="158"/>
      <c r="N171" s="80">
        <f>I171</f>
        <v>2906</v>
      </c>
      <c r="O171" s="6"/>
      <c r="P171" s="6"/>
      <c r="Q171" s="6"/>
      <c r="R171" s="6"/>
      <c r="S171" s="6"/>
    </row>
    <row r="172" spans="1:19" x14ac:dyDescent="0.2">
      <c r="A172" s="6"/>
      <c r="B172" s="6"/>
      <c r="C172" s="6"/>
      <c r="D172" s="6"/>
      <c r="E172" s="6"/>
      <c r="F172" s="161" t="s">
        <v>239</v>
      </c>
      <c r="G172" s="155"/>
      <c r="H172" s="155"/>
      <c r="I172" s="162">
        <f>IF(I171&gt;I170,I169, 0)</f>
        <v>295</v>
      </c>
      <c r="J172" s="6"/>
      <c r="K172" s="161" t="s">
        <v>239</v>
      </c>
      <c r="L172" s="155"/>
      <c r="M172" s="155"/>
      <c r="N172" s="162">
        <f>IF(N171&gt;N170,N169, 0)</f>
        <v>295</v>
      </c>
      <c r="O172" s="6"/>
      <c r="P172" s="6"/>
      <c r="Q172" s="6"/>
      <c r="R172" s="6"/>
      <c r="S172" s="6"/>
    </row>
    <row r="173" spans="1:19" x14ac:dyDescent="0.2">
      <c r="A173" s="6"/>
      <c r="B173" s="6"/>
      <c r="C173" s="6"/>
      <c r="D173" s="6"/>
      <c r="E173" s="6"/>
      <c r="F173" s="157" t="s">
        <v>240</v>
      </c>
      <c r="G173" s="158"/>
      <c r="H173" s="158"/>
      <c r="I173" s="163">
        <f>I172*I170</f>
        <v>384267</v>
      </c>
      <c r="J173" s="6"/>
      <c r="K173" s="157" t="s">
        <v>240</v>
      </c>
      <c r="L173" s="158"/>
      <c r="M173" s="158"/>
      <c r="N173" s="163">
        <f>N172*N170</f>
        <v>384267</v>
      </c>
      <c r="O173" s="6"/>
      <c r="P173" s="6"/>
      <c r="Q173" s="6"/>
      <c r="R173" s="6"/>
      <c r="S173" s="6"/>
    </row>
    <row r="174" spans="1:19" x14ac:dyDescent="0.2">
      <c r="A174" s="6"/>
      <c r="B174" s="6"/>
      <c r="C174" s="6"/>
      <c r="D174" s="6"/>
      <c r="E174" s="6"/>
      <c r="F174" s="157" t="s">
        <v>241</v>
      </c>
      <c r="G174" s="158"/>
      <c r="H174" s="158"/>
      <c r="I174" s="164">
        <f>I173/I171</f>
        <v>132.23227804542327</v>
      </c>
      <c r="J174" s="6"/>
      <c r="K174" s="157"/>
      <c r="L174" s="158"/>
      <c r="M174" s="158"/>
      <c r="N174" s="165"/>
      <c r="O174" s="6"/>
      <c r="P174" s="6"/>
      <c r="Q174" s="6"/>
      <c r="R174" s="6"/>
      <c r="S174" s="6"/>
    </row>
    <row r="175" spans="1:19" x14ac:dyDescent="0.2">
      <c r="A175" s="6"/>
      <c r="B175" s="6"/>
      <c r="C175" s="6"/>
      <c r="D175" s="6"/>
      <c r="E175" s="6"/>
      <c r="F175" s="157" t="s">
        <v>242</v>
      </c>
      <c r="G175" s="158"/>
      <c r="H175" s="158"/>
      <c r="I175" s="159">
        <v>60</v>
      </c>
      <c r="J175" s="6"/>
      <c r="K175" s="157" t="s">
        <v>242</v>
      </c>
      <c r="L175" s="158"/>
      <c r="M175" s="158"/>
      <c r="N175" s="159">
        <v>60</v>
      </c>
      <c r="O175" s="6"/>
      <c r="P175" s="6"/>
      <c r="Q175" s="6"/>
      <c r="R175" s="6"/>
      <c r="S175" s="6"/>
    </row>
    <row r="176" spans="1:19" x14ac:dyDescent="0.2">
      <c r="A176" s="6"/>
      <c r="B176" s="6"/>
      <c r="C176" s="6"/>
      <c r="D176" s="6"/>
      <c r="E176" s="6"/>
      <c r="F176" s="154" t="s">
        <v>52</v>
      </c>
      <c r="G176" s="166"/>
      <c r="H176" s="166"/>
      <c r="I176" s="167">
        <f>I168+I172+I175-I174</f>
        <v>37705.76772195458</v>
      </c>
      <c r="J176" s="6"/>
      <c r="K176" s="154" t="s">
        <v>52</v>
      </c>
      <c r="L176" s="166"/>
      <c r="M176" s="166"/>
      <c r="N176" s="167">
        <f>N168+N172+N175</f>
        <v>37838</v>
      </c>
      <c r="O176" s="6"/>
      <c r="P176" s="6"/>
      <c r="Q176" s="6"/>
      <c r="R176" s="6"/>
      <c r="S176" s="6"/>
    </row>
    <row r="177" spans="1:19" x14ac:dyDescent="0.2">
      <c r="A177" s="6"/>
      <c r="B177" s="6"/>
      <c r="C177" s="6"/>
      <c r="D177" s="6"/>
      <c r="E177" s="6"/>
      <c r="F177" s="168"/>
      <c r="G177" s="169"/>
      <c r="H177" s="169"/>
      <c r="I177" s="170"/>
      <c r="J177" s="6"/>
      <c r="K177" s="168"/>
      <c r="L177" s="169"/>
      <c r="M177" s="169"/>
      <c r="N177" s="170"/>
      <c r="O177" s="6"/>
      <c r="P177" s="6"/>
      <c r="Q177" s="6"/>
      <c r="R177" s="6"/>
      <c r="S177" s="6"/>
    </row>
  </sheetData>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133DA-ED3A-4D95-9B3E-8125B51465C3}">
  <dimension ref="A1:K42"/>
  <sheetViews>
    <sheetView workbookViewId="0">
      <selection activeCell="B29" sqref="B29"/>
    </sheetView>
  </sheetViews>
  <sheetFormatPr baseColWidth="10" defaultColWidth="8.83203125" defaultRowHeight="15" x14ac:dyDescent="0.2"/>
  <cols>
    <col min="1" max="1" width="50.33203125" bestFit="1" customWidth="1"/>
    <col min="2" max="2" width="13.1640625" bestFit="1" customWidth="1"/>
    <col min="3" max="3" width="10.1640625" customWidth="1"/>
    <col min="4" max="4" width="13.1640625" bestFit="1" customWidth="1"/>
    <col min="5" max="5" width="13.33203125" customWidth="1"/>
    <col min="6" max="7" width="11.5"/>
    <col min="8" max="8" width="11.6640625" bestFit="1" customWidth="1"/>
    <col min="10" max="10" width="11.5" bestFit="1" customWidth="1"/>
  </cols>
  <sheetData>
    <row r="1" spans="1:11" x14ac:dyDescent="0.2">
      <c r="A1" s="182"/>
      <c r="B1" s="182"/>
      <c r="C1" s="182"/>
      <c r="D1" s="182"/>
      <c r="E1" s="182"/>
      <c r="F1" s="182"/>
      <c r="G1" s="182"/>
      <c r="H1" s="182"/>
      <c r="I1" s="182"/>
      <c r="J1" s="182"/>
      <c r="K1" s="182"/>
    </row>
    <row r="2" spans="1:11" x14ac:dyDescent="0.2">
      <c r="A2" s="182"/>
      <c r="B2" s="182"/>
      <c r="C2" s="182"/>
      <c r="D2" s="182"/>
      <c r="E2" s="182"/>
      <c r="F2" s="182"/>
      <c r="G2" s="182"/>
      <c r="H2" s="182"/>
      <c r="I2" s="182"/>
      <c r="J2" s="182"/>
      <c r="K2" s="182"/>
    </row>
    <row r="3" spans="1:11" x14ac:dyDescent="0.2">
      <c r="A3" s="182"/>
      <c r="B3" s="182"/>
      <c r="C3" s="182"/>
      <c r="D3" s="182"/>
      <c r="E3" s="182"/>
      <c r="F3" s="182"/>
      <c r="G3" s="182"/>
      <c r="H3" s="182"/>
      <c r="I3" s="182"/>
      <c r="J3" s="182"/>
      <c r="K3" s="182"/>
    </row>
    <row r="4" spans="1:11" x14ac:dyDescent="0.2">
      <c r="A4" s="183" t="s">
        <v>243</v>
      </c>
      <c r="B4" s="182"/>
      <c r="C4" s="182"/>
      <c r="D4" s="182"/>
      <c r="E4" s="182"/>
      <c r="F4" s="182"/>
      <c r="G4" s="182"/>
      <c r="H4" s="182"/>
      <c r="I4" s="182"/>
      <c r="J4" s="182"/>
      <c r="K4" s="182"/>
    </row>
    <row r="5" spans="1:11" ht="20" x14ac:dyDescent="0.2">
      <c r="A5" s="184" t="s">
        <v>244</v>
      </c>
      <c r="B5" s="182"/>
      <c r="C5" s="182"/>
      <c r="D5" s="182"/>
      <c r="E5" s="182"/>
      <c r="F5" s="182"/>
      <c r="G5" s="182"/>
      <c r="H5" s="182"/>
      <c r="I5" s="182"/>
      <c r="J5" s="182"/>
      <c r="K5" s="182"/>
    </row>
    <row r="6" spans="1:11" x14ac:dyDescent="0.2">
      <c r="A6" s="182"/>
      <c r="B6" s="182"/>
      <c r="C6" s="182"/>
      <c r="D6" s="182"/>
      <c r="E6" s="182"/>
      <c r="F6" s="182"/>
      <c r="G6" s="182"/>
      <c r="H6" s="182"/>
      <c r="I6" s="182"/>
      <c r="J6" s="182"/>
      <c r="K6" s="182"/>
    </row>
    <row r="7" spans="1:11" ht="16" x14ac:dyDescent="0.2">
      <c r="A7" s="185" t="s">
        <v>245</v>
      </c>
      <c r="B7" s="182"/>
      <c r="C7" s="182"/>
      <c r="D7" s="182"/>
      <c r="E7" s="182"/>
      <c r="F7" s="182"/>
      <c r="G7" s="182"/>
      <c r="H7" s="182"/>
      <c r="I7" s="182"/>
      <c r="J7" s="182"/>
      <c r="K7" s="182"/>
    </row>
    <row r="8" spans="1:11" x14ac:dyDescent="0.2">
      <c r="A8" s="182"/>
      <c r="B8" s="182"/>
      <c r="C8" s="182"/>
      <c r="D8" s="182"/>
      <c r="E8" s="182"/>
      <c r="F8" s="182"/>
      <c r="G8" s="182"/>
      <c r="H8" s="182"/>
      <c r="I8" s="182"/>
      <c r="J8" s="182"/>
      <c r="K8" s="182"/>
    </row>
    <row r="9" spans="1:11" x14ac:dyDescent="0.2">
      <c r="A9" s="182"/>
      <c r="B9" s="182"/>
      <c r="C9" s="182"/>
      <c r="D9" s="182"/>
      <c r="E9" s="182"/>
      <c r="F9" s="182"/>
      <c r="G9" s="182"/>
      <c r="H9" s="182"/>
      <c r="I9" s="182"/>
      <c r="J9" s="182"/>
      <c r="K9" s="182"/>
    </row>
    <row r="10" spans="1:11" x14ac:dyDescent="0.2">
      <c r="A10" s="186" t="s">
        <v>246</v>
      </c>
      <c r="B10" s="182"/>
      <c r="C10" s="182"/>
      <c r="D10" s="182"/>
      <c r="E10" s="182"/>
      <c r="F10" s="182"/>
      <c r="G10" s="182"/>
      <c r="H10" s="182"/>
      <c r="I10" s="182"/>
      <c r="J10" s="182"/>
      <c r="K10" s="182"/>
    </row>
    <row r="11" spans="1:11" x14ac:dyDescent="0.2">
      <c r="A11" s="187" t="s">
        <v>247</v>
      </c>
      <c r="B11" s="188">
        <v>2023</v>
      </c>
      <c r="C11" s="187"/>
      <c r="D11" s="188">
        <v>2022</v>
      </c>
      <c r="E11" s="187"/>
      <c r="F11" s="188">
        <v>2021</v>
      </c>
      <c r="G11" s="187"/>
      <c r="H11" s="188">
        <v>2020</v>
      </c>
      <c r="I11" s="187"/>
      <c r="J11" s="188">
        <v>2019</v>
      </c>
      <c r="K11" s="187"/>
    </row>
    <row r="12" spans="1:11" x14ac:dyDescent="0.2">
      <c r="A12" s="36" t="s">
        <v>248</v>
      </c>
      <c r="B12" s="189">
        <v>9804124</v>
      </c>
      <c r="C12" s="190">
        <f t="shared" ref="C12:C22" si="0">B12/$B$14</f>
        <v>0.99315970411832921</v>
      </c>
      <c r="D12" s="189">
        <v>8558001</v>
      </c>
      <c r="E12" s="190">
        <f>D12/$D$14</f>
        <v>0.99112286169726349</v>
      </c>
      <c r="F12" s="189">
        <v>7457169</v>
      </c>
      <c r="G12" s="190">
        <f>F12/$F$14</f>
        <v>0.9880891382751511</v>
      </c>
      <c r="H12" s="189">
        <v>5920545</v>
      </c>
      <c r="I12" s="190">
        <f>H12/$H$14</f>
        <v>0.9892910744416451</v>
      </c>
      <c r="J12" s="191" t="s">
        <v>95</v>
      </c>
      <c r="K12" s="190">
        <v>0</v>
      </c>
    </row>
    <row r="13" spans="1:11" x14ac:dyDescent="0.2">
      <c r="A13" s="36" t="s">
        <v>249</v>
      </c>
      <c r="B13" s="192">
        <v>67525</v>
      </c>
      <c r="C13" s="190">
        <f t="shared" si="0"/>
        <v>6.8402958816708333E-3</v>
      </c>
      <c r="D13" s="192">
        <v>76651</v>
      </c>
      <c r="E13" s="190">
        <f t="shared" ref="E13:E42" si="1">D13/$D$14</f>
        <v>8.8771383027364623E-3</v>
      </c>
      <c r="F13" s="192">
        <v>89892</v>
      </c>
      <c r="G13" s="190">
        <f t="shared" ref="G13:G42" si="2">F13/$F$14</f>
        <v>1.1910861724848919E-2</v>
      </c>
      <c r="H13" s="192">
        <v>64089</v>
      </c>
      <c r="I13" s="190">
        <f t="shared" ref="I13:I42" si="3">H13/$H$14</f>
        <v>1.0708925558354947E-2</v>
      </c>
      <c r="J13" s="192" t="s">
        <v>95</v>
      </c>
      <c r="K13" s="190">
        <v>0</v>
      </c>
    </row>
    <row r="14" spans="1:11" x14ac:dyDescent="0.2">
      <c r="A14" s="193" t="s">
        <v>250</v>
      </c>
      <c r="B14" s="194">
        <v>9871649</v>
      </c>
      <c r="C14" s="195">
        <f t="shared" si="0"/>
        <v>1</v>
      </c>
      <c r="D14" s="194">
        <v>8634652</v>
      </c>
      <c r="E14" s="195">
        <f t="shared" si="1"/>
        <v>1</v>
      </c>
      <c r="F14" s="194">
        <v>7547061</v>
      </c>
      <c r="G14" s="195">
        <f t="shared" si="2"/>
        <v>1</v>
      </c>
      <c r="H14" s="194">
        <v>5984634</v>
      </c>
      <c r="I14" s="195">
        <f t="shared" si="3"/>
        <v>1</v>
      </c>
      <c r="J14" s="194">
        <v>5586369</v>
      </c>
      <c r="K14" s="195">
        <f t="shared" ref="K14:K42" si="4">J14/$J$14</f>
        <v>1</v>
      </c>
    </row>
    <row r="15" spans="1:11" x14ac:dyDescent="0.2">
      <c r="A15" s="36" t="s">
        <v>251</v>
      </c>
      <c r="B15" s="192">
        <v>2912564</v>
      </c>
      <c r="C15" s="190">
        <f t="shared" si="0"/>
        <v>0.29504331039322812</v>
      </c>
      <c r="D15" s="192">
        <v>2602245</v>
      </c>
      <c r="E15" s="190">
        <f t="shared" si="1"/>
        <v>0.30137230776642765</v>
      </c>
      <c r="F15" s="192">
        <v>2308631</v>
      </c>
      <c r="G15" s="190">
        <f t="shared" si="2"/>
        <v>0.30589801778467141</v>
      </c>
      <c r="H15" s="192">
        <v>1932766</v>
      </c>
      <c r="I15" s="190">
        <f t="shared" si="3"/>
        <v>0.32295475379112576</v>
      </c>
      <c r="J15" s="192">
        <v>1847916</v>
      </c>
      <c r="K15" s="190">
        <f t="shared" si="4"/>
        <v>0.33079017873685035</v>
      </c>
    </row>
    <row r="16" spans="1:11" x14ac:dyDescent="0.2">
      <c r="A16" s="36" t="s">
        <v>252</v>
      </c>
      <c r="B16" s="192">
        <v>2440982</v>
      </c>
      <c r="C16" s="190">
        <f t="shared" si="0"/>
        <v>0.247271960338136</v>
      </c>
      <c r="D16" s="192">
        <v>2197958</v>
      </c>
      <c r="E16" s="190">
        <f t="shared" si="1"/>
        <v>0.25455084929884841</v>
      </c>
      <c r="F16" s="192">
        <v>1917761</v>
      </c>
      <c r="G16" s="190">
        <f t="shared" si="2"/>
        <v>0.25410699608761611</v>
      </c>
      <c r="H16" s="192">
        <v>1593013</v>
      </c>
      <c r="I16" s="190">
        <f t="shared" si="3"/>
        <v>0.26618386354119566</v>
      </c>
      <c r="J16" s="192">
        <v>1472060</v>
      </c>
      <c r="K16" s="190">
        <f t="shared" si="4"/>
        <v>0.26350926693170468</v>
      </c>
    </row>
    <row r="17" spans="1:11" x14ac:dyDescent="0.2">
      <c r="A17" s="36" t="s">
        <v>253</v>
      </c>
      <c r="B17" s="192">
        <v>503264</v>
      </c>
      <c r="C17" s="190">
        <f t="shared" si="0"/>
        <v>5.09807429336274E-2</v>
      </c>
      <c r="D17" s="192">
        <v>460425</v>
      </c>
      <c r="E17" s="190">
        <f t="shared" si="1"/>
        <v>5.332293646576608E-2</v>
      </c>
      <c r="F17" s="192">
        <v>416606</v>
      </c>
      <c r="G17" s="190">
        <f t="shared" si="2"/>
        <v>5.5201090861727496E-2</v>
      </c>
      <c r="H17" s="192">
        <v>387762</v>
      </c>
      <c r="I17" s="190">
        <f t="shared" si="3"/>
        <v>6.4792934705781513E-2</v>
      </c>
      <c r="J17" s="192">
        <v>363072</v>
      </c>
      <c r="K17" s="190">
        <f t="shared" si="4"/>
        <v>6.4992484384758686E-2</v>
      </c>
    </row>
    <row r="18" spans="1:11" x14ac:dyDescent="0.2">
      <c r="A18" s="36" t="s">
        <v>254</v>
      </c>
      <c r="B18" s="192">
        <v>1428747</v>
      </c>
      <c r="C18" s="190">
        <f t="shared" si="0"/>
        <v>0.1447323542399046</v>
      </c>
      <c r="D18" s="192">
        <v>1311905</v>
      </c>
      <c r="E18" s="190">
        <f t="shared" si="1"/>
        <v>0.15193490137182136</v>
      </c>
      <c r="F18" s="192">
        <v>1197054</v>
      </c>
      <c r="G18" s="190">
        <f t="shared" si="2"/>
        <v>0.15861194178767071</v>
      </c>
      <c r="H18" s="192">
        <v>1030012</v>
      </c>
      <c r="I18" s="190">
        <f t="shared" si="3"/>
        <v>0.17210943893979147</v>
      </c>
      <c r="J18" s="192">
        <v>760831</v>
      </c>
      <c r="K18" s="190">
        <f t="shared" si="4"/>
        <v>0.13619418982168918</v>
      </c>
    </row>
    <row r="19" spans="1:11" x14ac:dyDescent="0.2">
      <c r="A19" s="196" t="s">
        <v>131</v>
      </c>
      <c r="B19" s="54">
        <f>SUM(B15:B18)</f>
        <v>7285557</v>
      </c>
      <c r="C19" s="197">
        <f t="shared" si="0"/>
        <v>0.73802836790489612</v>
      </c>
      <c r="D19" s="54">
        <f>SUM(D15:D18)</f>
        <v>6572533</v>
      </c>
      <c r="E19" s="197">
        <f>D19/$D$14</f>
        <v>0.76118099490286351</v>
      </c>
      <c r="F19" s="54">
        <f>SUM(F15:F18)</f>
        <v>5840052</v>
      </c>
      <c r="G19" s="197">
        <f>F19/$F$14</f>
        <v>0.77381804652168573</v>
      </c>
      <c r="H19" s="54">
        <f>SUM(H15:H18)</f>
        <v>4943553</v>
      </c>
      <c r="I19" s="197">
        <f>H19/$H$14</f>
        <v>0.82604099097789441</v>
      </c>
      <c r="J19" s="54">
        <f>SUM(J15:J18)</f>
        <v>4443879</v>
      </c>
      <c r="K19" s="197">
        <f>J19/$J$14</f>
        <v>0.79548611987500284</v>
      </c>
    </row>
    <row r="20" spans="1:11" x14ac:dyDescent="0.2">
      <c r="A20" s="36" t="s">
        <v>133</v>
      </c>
      <c r="B20" s="192">
        <v>633584</v>
      </c>
      <c r="C20" s="190">
        <f t="shared" si="0"/>
        <v>6.4182184759608046E-2</v>
      </c>
      <c r="D20" s="192">
        <v>564191</v>
      </c>
      <c r="E20" s="190">
        <f t="shared" si="1"/>
        <v>6.5340328712726353E-2</v>
      </c>
      <c r="F20" s="192">
        <v>606854</v>
      </c>
      <c r="G20" s="190">
        <f t="shared" si="2"/>
        <v>8.0409314301288934E-2</v>
      </c>
      <c r="H20" s="192">
        <v>466291</v>
      </c>
      <c r="I20" s="190">
        <f t="shared" si="3"/>
        <v>7.7914706229319952E-2</v>
      </c>
      <c r="J20" s="192">
        <v>451552</v>
      </c>
      <c r="K20" s="190">
        <f t="shared" si="4"/>
        <v>8.0831037119101876E-2</v>
      </c>
    </row>
    <row r="21" spans="1:11" x14ac:dyDescent="0.2">
      <c r="A21" s="198" t="s">
        <v>140</v>
      </c>
      <c r="B21" s="199">
        <v>319394</v>
      </c>
      <c r="C21" s="198"/>
      <c r="D21" s="200">
        <v>286826</v>
      </c>
      <c r="E21" s="198"/>
      <c r="F21" s="200">
        <v>254657</v>
      </c>
      <c r="G21" s="198"/>
      <c r="H21" s="200">
        <v>238534</v>
      </c>
      <c r="I21" s="198"/>
      <c r="J21" s="200">
        <v>212778</v>
      </c>
      <c r="K21" s="190">
        <f t="shared" si="4"/>
        <v>3.8088783608816387E-2</v>
      </c>
    </row>
    <row r="22" spans="1:11" x14ac:dyDescent="0.2">
      <c r="A22" s="36" t="s">
        <v>255</v>
      </c>
      <c r="B22" s="192">
        <v>36931</v>
      </c>
      <c r="C22" s="190">
        <f t="shared" si="0"/>
        <v>3.7411176187483975E-3</v>
      </c>
      <c r="D22" s="192">
        <v>29560</v>
      </c>
      <c r="E22" s="190">
        <f t="shared" si="1"/>
        <v>3.4234153269871214E-3</v>
      </c>
      <c r="F22" s="192">
        <v>21264</v>
      </c>
      <c r="G22" s="190">
        <f t="shared" si="2"/>
        <v>2.817520621603562E-3</v>
      </c>
      <c r="H22" s="192">
        <v>15515</v>
      </c>
      <c r="I22" s="190">
        <f t="shared" si="3"/>
        <v>2.5924726558048494E-3</v>
      </c>
      <c r="J22" s="192">
        <v>11108</v>
      </c>
      <c r="K22" s="190">
        <f t="shared" si="4"/>
        <v>1.9884114350484186E-3</v>
      </c>
    </row>
    <row r="23" spans="1:11" x14ac:dyDescent="0.2">
      <c r="A23" s="36" t="s">
        <v>135</v>
      </c>
      <c r="B23" s="201" t="s">
        <v>95</v>
      </c>
      <c r="C23" s="190"/>
      <c r="D23" s="201">
        <v>21139</v>
      </c>
      <c r="E23" s="190">
        <f t="shared" si="1"/>
        <v>2.4481588835311486E-3</v>
      </c>
      <c r="F23" s="201">
        <v>19291</v>
      </c>
      <c r="G23" s="190">
        <f t="shared" si="2"/>
        <v>2.5560943524903269E-3</v>
      </c>
      <c r="H23" s="201">
        <v>30577</v>
      </c>
      <c r="I23" s="190">
        <f t="shared" si="3"/>
        <v>5.1092514596548424E-3</v>
      </c>
      <c r="J23" s="201">
        <v>23094</v>
      </c>
      <c r="K23" s="190">
        <f t="shared" si="4"/>
        <v>4.1339911488124043E-3</v>
      </c>
    </row>
    <row r="24" spans="1:11" x14ac:dyDescent="0.2">
      <c r="A24" s="36" t="s">
        <v>256</v>
      </c>
      <c r="B24" s="192">
        <v>8313836</v>
      </c>
      <c r="C24" s="190">
        <f>B24/$B$14</f>
        <v>0.84219323438262439</v>
      </c>
      <c r="D24" s="192">
        <v>7474249</v>
      </c>
      <c r="E24" s="190">
        <f t="shared" si="1"/>
        <v>0.86561091286597303</v>
      </c>
      <c r="F24" s="192">
        <v>6742118</v>
      </c>
      <c r="G24" s="190">
        <f t="shared" si="2"/>
        <v>0.8933435147801243</v>
      </c>
      <c r="H24" s="192">
        <v>5694470</v>
      </c>
      <c r="I24" s="190">
        <f t="shared" si="3"/>
        <v>0.95151516366748579</v>
      </c>
      <c r="J24" s="192">
        <v>5142411</v>
      </c>
      <c r="K24" s="190">
        <f t="shared" si="4"/>
        <v>0.92052834318678201</v>
      </c>
    </row>
    <row r="25" spans="1:11" x14ac:dyDescent="0.2">
      <c r="A25" s="193" t="s">
        <v>257</v>
      </c>
      <c r="B25" s="202">
        <v>1557813</v>
      </c>
      <c r="C25" s="195">
        <f>B25/$B$14</f>
        <v>0.15780676561737558</v>
      </c>
      <c r="D25" s="202">
        <v>1160403</v>
      </c>
      <c r="E25" s="195">
        <f t="shared" si="1"/>
        <v>0.13438908713402695</v>
      </c>
      <c r="F25" s="202">
        <v>804943</v>
      </c>
      <c r="G25" s="195">
        <f t="shared" si="2"/>
        <v>0.10665648521987565</v>
      </c>
      <c r="H25" s="202">
        <v>290164</v>
      </c>
      <c r="I25" s="195">
        <f t="shared" si="3"/>
        <v>4.8484836332514235E-2</v>
      </c>
      <c r="J25" s="202">
        <v>443958</v>
      </c>
      <c r="K25" s="195">
        <f t="shared" si="4"/>
        <v>7.9471656813218036E-2</v>
      </c>
    </row>
    <row r="26" spans="1:11" x14ac:dyDescent="0.2">
      <c r="A26" s="36" t="s">
        <v>258</v>
      </c>
      <c r="B26" s="203">
        <v>62693</v>
      </c>
      <c r="C26" s="190">
        <f>B26/$B$14</f>
        <v>6.3508133240961061E-3</v>
      </c>
      <c r="D26" s="203" t="s">
        <v>95</v>
      </c>
      <c r="E26" s="190"/>
      <c r="F26" s="203" t="s">
        <v>95</v>
      </c>
      <c r="G26" s="190"/>
      <c r="H26" s="203" t="s">
        <v>95</v>
      </c>
      <c r="I26" s="190"/>
      <c r="J26" s="203" t="s">
        <v>95</v>
      </c>
      <c r="K26" s="190"/>
    </row>
    <row r="27" spans="1:11" x14ac:dyDescent="0.2">
      <c r="A27" s="36" t="s">
        <v>259</v>
      </c>
      <c r="B27" s="204" t="s">
        <v>95</v>
      </c>
      <c r="C27" s="190"/>
      <c r="D27" s="204">
        <v>21128</v>
      </c>
      <c r="E27" s="190">
        <f t="shared" si="1"/>
        <v>2.4468849468397801E-3</v>
      </c>
      <c r="F27" s="204">
        <v>7820</v>
      </c>
      <c r="G27" s="190">
        <f t="shared" si="2"/>
        <v>1.0361649389080067E-3</v>
      </c>
      <c r="H27" s="204">
        <v>3617</v>
      </c>
      <c r="I27" s="190">
        <f t="shared" si="3"/>
        <v>6.0438115346736325E-4</v>
      </c>
      <c r="J27" s="204">
        <v>14327</v>
      </c>
      <c r="K27" s="190">
        <f t="shared" si="4"/>
        <v>2.5646354546217769E-3</v>
      </c>
    </row>
    <row r="28" spans="1:11" x14ac:dyDescent="0.2">
      <c r="A28" s="36" t="s">
        <v>260</v>
      </c>
      <c r="B28" s="204">
        <f>SUM(B26:B27)</f>
        <v>62693</v>
      </c>
      <c r="C28" s="190">
        <f t="shared" ref="C28" si="5">B28/$B$14</f>
        <v>6.3508133240961061E-3</v>
      </c>
      <c r="D28" s="204">
        <f t="shared" ref="D28:J28" si="6">SUM(D26:D27)</f>
        <v>21128</v>
      </c>
      <c r="E28" s="190">
        <f t="shared" si="1"/>
        <v>2.4468849468397801E-3</v>
      </c>
      <c r="F28" s="204">
        <f t="shared" si="6"/>
        <v>7820</v>
      </c>
      <c r="G28" s="190">
        <f t="shared" si="2"/>
        <v>1.0361649389080067E-3</v>
      </c>
      <c r="H28" s="204">
        <f t="shared" si="6"/>
        <v>3617</v>
      </c>
      <c r="I28" s="190">
        <f t="shared" si="3"/>
        <v>6.0438115346736325E-4</v>
      </c>
      <c r="J28" s="204">
        <f t="shared" si="6"/>
        <v>14327</v>
      </c>
      <c r="K28" s="190">
        <f t="shared" si="4"/>
        <v>2.5646354546217769E-3</v>
      </c>
    </row>
    <row r="29" spans="1:11" x14ac:dyDescent="0.2">
      <c r="A29" s="36" t="s">
        <v>261</v>
      </c>
      <c r="B29" s="204" t="s">
        <v>95</v>
      </c>
      <c r="C29" s="190"/>
      <c r="D29" s="204">
        <v>1192004</v>
      </c>
      <c r="E29" s="190">
        <f t="shared" si="1"/>
        <v>0.1380488756234762</v>
      </c>
      <c r="F29" s="204">
        <v>818057</v>
      </c>
      <c r="G29" s="190">
        <f t="shared" si="2"/>
        <v>0.10839411527215694</v>
      </c>
      <c r="H29" s="204">
        <v>311021</v>
      </c>
      <c r="I29" s="190">
        <f t="shared" si="3"/>
        <v>5.1969928319760238E-2</v>
      </c>
      <c r="J29" s="204" t="s">
        <v>95</v>
      </c>
      <c r="K29" s="190"/>
    </row>
    <row r="30" spans="1:11" x14ac:dyDescent="0.2">
      <c r="A30" s="36" t="s">
        <v>262</v>
      </c>
      <c r="B30" s="204" t="s">
        <v>95</v>
      </c>
      <c r="C30" s="190"/>
      <c r="D30" s="204">
        <v>-10473</v>
      </c>
      <c r="E30" s="190">
        <f t="shared" si="1"/>
        <v>-1.2129035426094764E-3</v>
      </c>
      <c r="F30" s="204">
        <v>5294</v>
      </c>
      <c r="G30" s="190">
        <f t="shared" si="2"/>
        <v>7.0146511337327211E-4</v>
      </c>
      <c r="H30" s="204">
        <v>-17240</v>
      </c>
      <c r="I30" s="190">
        <f t="shared" si="3"/>
        <v>-2.8807108337786406E-3</v>
      </c>
      <c r="J30" s="204" t="s">
        <v>95</v>
      </c>
      <c r="K30" s="190"/>
    </row>
    <row r="31" spans="1:11" x14ac:dyDescent="0.2">
      <c r="A31" s="36" t="s">
        <v>263</v>
      </c>
      <c r="B31" s="203">
        <v>1620506</v>
      </c>
      <c r="C31" s="190">
        <f t="shared" ref="C31:C42" si="7">B31/$B$14</f>
        <v>0.16415757894147168</v>
      </c>
      <c r="D31" s="203">
        <v>1181531</v>
      </c>
      <c r="E31" s="190">
        <f t="shared" si="1"/>
        <v>0.13683597208086673</v>
      </c>
      <c r="F31" s="203">
        <v>812763</v>
      </c>
      <c r="G31" s="190">
        <f t="shared" si="2"/>
        <v>0.10769265015878367</v>
      </c>
      <c r="H31" s="203">
        <v>293781</v>
      </c>
      <c r="I31" s="190">
        <f t="shared" si="3"/>
        <v>4.90892174859816E-2</v>
      </c>
      <c r="J31" s="203">
        <v>458285</v>
      </c>
      <c r="K31" s="190">
        <f t="shared" si="4"/>
        <v>8.2036292267839803E-2</v>
      </c>
    </row>
    <row r="32" spans="1:11" x14ac:dyDescent="0.2">
      <c r="A32" s="36" t="s">
        <v>264</v>
      </c>
      <c r="B32" s="203">
        <v>314757</v>
      </c>
      <c r="C32" s="190">
        <f t="shared" si="7"/>
        <v>3.1884946476520792E-2</v>
      </c>
      <c r="D32" s="203">
        <v>246210</v>
      </c>
      <c r="E32" s="190">
        <f t="shared" si="1"/>
        <v>2.8514177525625815E-2</v>
      </c>
      <c r="F32" s="203">
        <v>156447</v>
      </c>
      <c r="G32" s="190">
        <f t="shared" si="2"/>
        <v>2.0729526367946411E-2</v>
      </c>
      <c r="H32" s="203">
        <v>-204063</v>
      </c>
      <c r="I32" s="190">
        <f t="shared" si="3"/>
        <v>-3.4097824528617787E-2</v>
      </c>
      <c r="J32" s="203">
        <v>57020</v>
      </c>
      <c r="K32" s="190">
        <f t="shared" si="4"/>
        <v>1.0206987758953982E-2</v>
      </c>
    </row>
    <row r="33" spans="1:11" x14ac:dyDescent="0.2">
      <c r="A33" s="36" t="s">
        <v>265</v>
      </c>
      <c r="B33" s="203">
        <v>85355</v>
      </c>
      <c r="C33" s="190">
        <f t="shared" si="7"/>
        <v>8.6464784151057232E-3</v>
      </c>
      <c r="D33" s="203">
        <v>79041</v>
      </c>
      <c r="E33" s="190">
        <f t="shared" si="1"/>
        <v>9.1539300020429312E-3</v>
      </c>
      <c r="F33" s="203">
        <v>15351</v>
      </c>
      <c r="G33" s="190">
        <f t="shared" si="2"/>
        <v>2.034036825725935E-3</v>
      </c>
      <c r="H33" s="203">
        <v>32684</v>
      </c>
      <c r="I33" s="190">
        <f t="shared" si="3"/>
        <v>5.4613197732726847E-3</v>
      </c>
      <c r="J33" s="203">
        <v>20499</v>
      </c>
      <c r="K33" s="190">
        <f t="shared" si="4"/>
        <v>3.6694675915608151E-3</v>
      </c>
    </row>
    <row r="34" spans="1:11" x14ac:dyDescent="0.2">
      <c r="A34" s="36" t="s">
        <v>266</v>
      </c>
      <c r="B34" s="203">
        <v>1162</v>
      </c>
      <c r="C34" s="190">
        <f t="shared" si="7"/>
        <v>1.1771083027769727E-4</v>
      </c>
      <c r="D34" s="203">
        <v>374</v>
      </c>
      <c r="E34" s="190">
        <f t="shared" si="1"/>
        <v>4.3313847506535298E-5</v>
      </c>
      <c r="F34" s="203">
        <v>338</v>
      </c>
      <c r="G34" s="190">
        <f t="shared" si="2"/>
        <v>4.4785645697046834E-5</v>
      </c>
      <c r="H34" s="203">
        <v>1044</v>
      </c>
      <c r="I34" s="190">
        <f t="shared" si="3"/>
        <v>1.7444675814761603E-4</v>
      </c>
      <c r="J34" s="203">
        <v>646</v>
      </c>
      <c r="K34" s="190">
        <f t="shared" si="4"/>
        <v>1.1563861964721629E-4</v>
      </c>
    </row>
    <row r="35" spans="1:11" x14ac:dyDescent="0.2">
      <c r="A35" s="36" t="s">
        <v>267</v>
      </c>
      <c r="B35" s="203">
        <v>401274</v>
      </c>
      <c r="C35" s="190">
        <f t="shared" si="7"/>
        <v>4.0649135721904213E-2</v>
      </c>
      <c r="D35" s="203">
        <v>325625</v>
      </c>
      <c r="E35" s="190">
        <f t="shared" si="1"/>
        <v>3.7711421375175282E-2</v>
      </c>
      <c r="F35" s="203">
        <v>172136</v>
      </c>
      <c r="G35" s="190">
        <f t="shared" si="2"/>
        <v>2.2808348839369393E-2</v>
      </c>
      <c r="H35" s="203">
        <v>-170335</v>
      </c>
      <c r="I35" s="190">
        <f t="shared" si="3"/>
        <v>-2.846205799719749E-2</v>
      </c>
      <c r="J35" s="203">
        <v>78165</v>
      </c>
      <c r="K35" s="190">
        <f t="shared" si="4"/>
        <v>1.3992093970162014E-2</v>
      </c>
    </row>
    <row r="36" spans="1:11" x14ac:dyDescent="0.2">
      <c r="A36" s="36" t="s">
        <v>268</v>
      </c>
      <c r="B36" s="203">
        <v>-7992</v>
      </c>
      <c r="C36" s="190">
        <f t="shared" si="7"/>
        <v>-8.0959118380323286E-4</v>
      </c>
      <c r="D36" s="203">
        <v>-23502</v>
      </c>
      <c r="E36" s="190">
        <f t="shared" si="1"/>
        <v>-2.72182364732244E-3</v>
      </c>
      <c r="F36" s="203">
        <v>-33004</v>
      </c>
      <c r="G36" s="190">
        <f t="shared" si="2"/>
        <v>-4.3730930490690351E-3</v>
      </c>
      <c r="H36" s="203">
        <v>120066</v>
      </c>
      <c r="I36" s="190">
        <f t="shared" si="3"/>
        <v>2.0062379754551406E-2</v>
      </c>
      <c r="J36" s="203">
        <v>27231</v>
      </c>
      <c r="K36" s="190">
        <f t="shared" si="4"/>
        <v>4.8745437331475959E-3</v>
      </c>
    </row>
    <row r="37" spans="1:11" x14ac:dyDescent="0.2">
      <c r="A37" s="36" t="s">
        <v>269</v>
      </c>
      <c r="B37" s="203">
        <v>-1532</v>
      </c>
      <c r="C37" s="190">
        <f t="shared" si="7"/>
        <v>-1.5519190360192101E-4</v>
      </c>
      <c r="D37" s="203">
        <v>-19940</v>
      </c>
      <c r="E37" s="190">
        <f t="shared" si="1"/>
        <v>-2.3092997841719621E-3</v>
      </c>
      <c r="F37" s="203">
        <v>20404</v>
      </c>
      <c r="G37" s="190">
        <f t="shared" si="2"/>
        <v>2.7035689787057505E-3</v>
      </c>
      <c r="H37" s="203">
        <v>-11507</v>
      </c>
      <c r="I37" s="190">
        <f t="shared" si="3"/>
        <v>-1.9227575153300937E-3</v>
      </c>
      <c r="J37" s="203">
        <v>2740</v>
      </c>
      <c r="K37" s="190">
        <f t="shared" si="4"/>
        <v>4.9047959416930744E-4</v>
      </c>
    </row>
    <row r="38" spans="1:11" x14ac:dyDescent="0.2">
      <c r="A38" s="36" t="s">
        <v>270</v>
      </c>
      <c r="B38" s="203">
        <v>-7606</v>
      </c>
      <c r="C38" s="190">
        <f t="shared" si="7"/>
        <v>-7.7048930730823188E-4</v>
      </c>
      <c r="D38" s="203">
        <v>3771</v>
      </c>
      <c r="E38" s="190">
        <f t="shared" si="1"/>
        <v>4.3672866028648288E-4</v>
      </c>
      <c r="F38" s="203">
        <v>-7229</v>
      </c>
      <c r="G38" s="190">
        <f t="shared" si="2"/>
        <v>-9.5785630989334784E-4</v>
      </c>
      <c r="H38" s="203">
        <v>-7158</v>
      </c>
      <c r="I38" s="190">
        <f t="shared" si="3"/>
        <v>-1.1960631176442869E-3</v>
      </c>
      <c r="J38" s="203">
        <v>-2685</v>
      </c>
      <c r="K38" s="190">
        <f t="shared" si="4"/>
        <v>-4.8063420085569001E-4</v>
      </c>
    </row>
    <row r="39" spans="1:11" x14ac:dyDescent="0.2">
      <c r="A39" s="36" t="s">
        <v>271</v>
      </c>
      <c r="B39" s="203">
        <v>-17130</v>
      </c>
      <c r="C39" s="190">
        <f t="shared" si="7"/>
        <v>-1.7352723947133858E-3</v>
      </c>
      <c r="D39" s="203">
        <v>-39671</v>
      </c>
      <c r="E39" s="190">
        <f t="shared" si="1"/>
        <v>-4.5943947712079186E-3</v>
      </c>
      <c r="F39" s="203">
        <v>-19829</v>
      </c>
      <c r="G39" s="190">
        <f t="shared" si="2"/>
        <v>-2.6273803802566325E-3</v>
      </c>
      <c r="H39" s="203">
        <v>101401</v>
      </c>
      <c r="I39" s="190">
        <f t="shared" si="3"/>
        <v>1.6943559121577027E-2</v>
      </c>
      <c r="J39" s="203">
        <v>27286</v>
      </c>
      <c r="K39" s="190">
        <f t="shared" si="4"/>
        <v>4.8843891264612133E-3</v>
      </c>
    </row>
    <row r="40" spans="1:11" x14ac:dyDescent="0.2">
      <c r="A40" s="36" t="s">
        <v>272</v>
      </c>
      <c r="B40" s="203">
        <v>7625</v>
      </c>
      <c r="C40" s="190">
        <f t="shared" si="7"/>
        <v>7.7241401107352981E-4</v>
      </c>
      <c r="D40" s="203">
        <v>-3524</v>
      </c>
      <c r="E40" s="190">
        <f t="shared" si="1"/>
        <v>-4.0812299094393148E-4</v>
      </c>
      <c r="F40" s="203">
        <v>7472</v>
      </c>
      <c r="G40" s="190">
        <f t="shared" si="2"/>
        <v>9.9005427410749688E-4</v>
      </c>
      <c r="H40" s="203">
        <v>6949</v>
      </c>
      <c r="I40" s="190">
        <f t="shared" si="3"/>
        <v>1.1611403470955784E-3</v>
      </c>
      <c r="J40" s="203">
        <v>2676</v>
      </c>
      <c r="K40" s="190">
        <f t="shared" si="4"/>
        <v>4.7902313649527984E-4</v>
      </c>
    </row>
    <row r="41" spans="1:11" x14ac:dyDescent="0.2">
      <c r="A41" s="36" t="s">
        <v>273</v>
      </c>
      <c r="B41" s="203">
        <v>391769</v>
      </c>
      <c r="C41" s="190">
        <f t="shared" si="7"/>
        <v>3.968627733826436E-2</v>
      </c>
      <c r="D41" s="203">
        <v>282430</v>
      </c>
      <c r="E41" s="190">
        <f t="shared" si="1"/>
        <v>3.2708903613023435E-2</v>
      </c>
      <c r="F41" s="203">
        <v>159779</v>
      </c>
      <c r="G41" s="190">
        <f t="shared" si="2"/>
        <v>2.1171022733220256E-2</v>
      </c>
      <c r="H41" s="203">
        <v>-61985</v>
      </c>
      <c r="I41" s="190">
        <f t="shared" si="3"/>
        <v>-1.0357358528524886E-2</v>
      </c>
      <c r="J41" s="203">
        <v>108127</v>
      </c>
      <c r="K41" s="190">
        <f t="shared" si="4"/>
        <v>1.9355506233118505E-2</v>
      </c>
    </row>
    <row r="42" spans="1:11" x14ac:dyDescent="0.2">
      <c r="A42" s="193" t="s">
        <v>274</v>
      </c>
      <c r="B42" s="202">
        <v>1228737</v>
      </c>
      <c r="C42" s="195">
        <f t="shared" si="7"/>
        <v>0.12447130160320732</v>
      </c>
      <c r="D42" s="202">
        <v>899101</v>
      </c>
      <c r="E42" s="195">
        <f t="shared" si="1"/>
        <v>0.1041270684678433</v>
      </c>
      <c r="F42" s="202">
        <v>652984</v>
      </c>
      <c r="G42" s="195">
        <f t="shared" si="2"/>
        <v>8.6521627425563408E-2</v>
      </c>
      <c r="H42" s="202">
        <v>355766</v>
      </c>
      <c r="I42" s="195">
        <f t="shared" si="3"/>
        <v>5.9446576014506487E-2</v>
      </c>
      <c r="J42" s="202">
        <v>350158</v>
      </c>
      <c r="K42" s="195">
        <f t="shared" si="4"/>
        <v>6.2680786034721298E-2</v>
      </c>
    </row>
  </sheetData>
  <pageMargins left="0.7" right="0.7" top="0.75" bottom="0.75" header="0.3" footer="0.3"/>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51A7C-4962-4F5D-BB17-AC8A07761214}">
  <dimension ref="A1:K71"/>
  <sheetViews>
    <sheetView topLeftCell="A50" workbookViewId="0">
      <selection activeCell="B29" sqref="B29"/>
    </sheetView>
  </sheetViews>
  <sheetFormatPr baseColWidth="10" defaultColWidth="8.83203125" defaultRowHeight="15" x14ac:dyDescent="0.2"/>
  <cols>
    <col min="1" max="1" width="57.83203125" bestFit="1" customWidth="1"/>
    <col min="2" max="2" width="13.1640625" bestFit="1" customWidth="1"/>
    <col min="3" max="3" width="8.33203125" bestFit="1" customWidth="1"/>
    <col min="4" max="4" width="11.5"/>
    <col min="5" max="5" width="8.33203125" bestFit="1" customWidth="1"/>
    <col min="6" max="6" width="13.1640625" bestFit="1" customWidth="1"/>
    <col min="7" max="7" width="8.33203125" bestFit="1" customWidth="1"/>
    <col min="8" max="8" width="11.5" bestFit="1" customWidth="1"/>
    <col min="9" max="9" width="8.33203125" bestFit="1" customWidth="1"/>
    <col min="10" max="10" width="11.5" bestFit="1" customWidth="1"/>
    <col min="11" max="11" width="8.33203125" bestFit="1" customWidth="1"/>
  </cols>
  <sheetData>
    <row r="1" spans="1:11" x14ac:dyDescent="0.2">
      <c r="A1" s="182"/>
      <c r="B1" s="189"/>
      <c r="C1" s="182"/>
      <c r="D1" s="189"/>
      <c r="E1" s="182"/>
      <c r="F1" s="189"/>
      <c r="G1" s="182"/>
      <c r="H1" s="189"/>
      <c r="I1" s="182"/>
      <c r="J1" s="189"/>
      <c r="K1" s="182"/>
    </row>
    <row r="2" spans="1:11" x14ac:dyDescent="0.2">
      <c r="A2" s="182"/>
      <c r="B2" s="189"/>
      <c r="C2" s="182"/>
      <c r="D2" s="189"/>
      <c r="E2" s="182"/>
      <c r="F2" s="189"/>
      <c r="G2" s="182"/>
      <c r="H2" s="189"/>
      <c r="I2" s="182"/>
      <c r="J2" s="189"/>
      <c r="K2" s="182"/>
    </row>
    <row r="3" spans="1:11" x14ac:dyDescent="0.2">
      <c r="A3" s="182"/>
      <c r="B3" s="189"/>
      <c r="C3" s="182"/>
      <c r="D3" s="189"/>
      <c r="E3" s="182"/>
      <c r="F3" s="189"/>
      <c r="G3" s="182"/>
      <c r="H3" s="189"/>
      <c r="I3" s="182"/>
      <c r="J3" s="189"/>
      <c r="K3" s="182"/>
    </row>
    <row r="4" spans="1:11" x14ac:dyDescent="0.2">
      <c r="A4" s="183" t="s">
        <v>243</v>
      </c>
      <c r="B4" s="189"/>
      <c r="C4" s="182"/>
      <c r="D4" s="189"/>
      <c r="E4" s="182"/>
      <c r="F4" s="189"/>
      <c r="G4" s="182"/>
      <c r="H4" s="189"/>
      <c r="I4" s="182"/>
      <c r="J4" s="189"/>
      <c r="K4" s="182"/>
    </row>
    <row r="5" spans="1:11" ht="20" x14ac:dyDescent="0.2">
      <c r="A5" s="184" t="s">
        <v>244</v>
      </c>
      <c r="B5" s="189"/>
      <c r="C5" s="182"/>
      <c r="D5" s="189"/>
      <c r="E5" s="182"/>
      <c r="F5" s="189"/>
      <c r="G5" s="182"/>
      <c r="H5" s="189"/>
      <c r="I5" s="182"/>
      <c r="J5" s="189"/>
      <c r="K5" s="182"/>
    </row>
    <row r="6" spans="1:11" x14ac:dyDescent="0.2">
      <c r="A6" s="182"/>
      <c r="B6" s="189"/>
      <c r="C6" s="182"/>
      <c r="D6" s="189"/>
      <c r="E6" s="182"/>
      <c r="F6" s="189"/>
      <c r="G6" s="182"/>
      <c r="H6" s="189"/>
      <c r="I6" s="182"/>
      <c r="J6" s="189"/>
      <c r="K6" s="182"/>
    </row>
    <row r="7" spans="1:11" ht="16" x14ac:dyDescent="0.2">
      <c r="A7" s="185" t="s">
        <v>245</v>
      </c>
      <c r="B7" s="189"/>
      <c r="C7" s="182"/>
      <c r="D7" s="189"/>
      <c r="E7" s="182"/>
      <c r="F7" s="189"/>
      <c r="G7" s="182"/>
      <c r="H7" s="189"/>
      <c r="I7" s="182"/>
      <c r="J7" s="189"/>
      <c r="K7" s="182"/>
    </row>
    <row r="8" spans="1:11" x14ac:dyDescent="0.2">
      <c r="A8" s="182"/>
      <c r="B8" s="189"/>
      <c r="C8" s="182"/>
      <c r="D8" s="189"/>
      <c r="E8" s="182"/>
      <c r="F8" s="189"/>
      <c r="G8" s="182"/>
      <c r="H8" s="189"/>
      <c r="I8" s="182"/>
      <c r="J8" s="189"/>
      <c r="K8" s="182"/>
    </row>
    <row r="9" spans="1:11" x14ac:dyDescent="0.2">
      <c r="A9" s="182"/>
      <c r="B9" s="189"/>
      <c r="C9" s="182"/>
      <c r="D9" s="189"/>
      <c r="E9" s="182"/>
      <c r="F9" s="189"/>
      <c r="G9" s="182"/>
      <c r="H9" s="189"/>
      <c r="I9" s="182"/>
      <c r="J9" s="189"/>
      <c r="K9" s="182"/>
    </row>
    <row r="10" spans="1:11" x14ac:dyDescent="0.2">
      <c r="A10" s="186" t="s">
        <v>275</v>
      </c>
      <c r="B10" s="189"/>
      <c r="C10" s="182"/>
      <c r="D10" s="189"/>
      <c r="E10" s="182"/>
      <c r="F10" s="189"/>
      <c r="G10" s="182"/>
      <c r="H10" s="189"/>
      <c r="I10" s="182"/>
      <c r="J10" s="189"/>
      <c r="K10" s="182"/>
    </row>
    <row r="11" spans="1:11" x14ac:dyDescent="0.2">
      <c r="A11" s="187" t="s">
        <v>247</v>
      </c>
      <c r="B11" s="205">
        <v>2023</v>
      </c>
      <c r="C11" s="206"/>
      <c r="D11" s="205">
        <v>2022</v>
      </c>
      <c r="E11" s="206"/>
      <c r="F11" s="205">
        <v>2021</v>
      </c>
      <c r="G11" s="206"/>
      <c r="H11" s="205">
        <v>2020</v>
      </c>
      <c r="I11" s="206"/>
      <c r="J11" s="205">
        <v>2019</v>
      </c>
      <c r="K11" s="187"/>
    </row>
    <row r="12" spans="1:11" x14ac:dyDescent="0.2">
      <c r="A12" s="36" t="s">
        <v>180</v>
      </c>
      <c r="B12" s="189">
        <v>560609</v>
      </c>
      <c r="C12" s="190">
        <f>B12/$B$41</f>
        <v>6.9689678311344025E-2</v>
      </c>
      <c r="D12" s="189">
        <v>384000</v>
      </c>
      <c r="E12" s="190">
        <f>D12/$D$41</f>
        <v>5.5431220249024755E-2</v>
      </c>
      <c r="F12" s="189">
        <v>815374</v>
      </c>
      <c r="G12" s="190">
        <f>F12/$F$41</f>
        <v>0.12255811625445404</v>
      </c>
      <c r="H12" s="189">
        <v>607987</v>
      </c>
      <c r="I12" s="190">
        <f>H12/$H$41</f>
        <v>0.10162085384736756</v>
      </c>
      <c r="J12" s="189">
        <v>480626</v>
      </c>
      <c r="K12" s="190">
        <f>J12/$J$41</f>
        <v>9.4155393836622789E-2</v>
      </c>
    </row>
    <row r="13" spans="1:11" x14ac:dyDescent="0.2">
      <c r="A13" s="36" t="s">
        <v>276</v>
      </c>
      <c r="B13" s="201" t="s">
        <v>95</v>
      </c>
      <c r="C13" s="190"/>
      <c r="D13" s="201" t="s">
        <v>95</v>
      </c>
      <c r="E13" s="190"/>
      <c r="F13" s="201" t="s">
        <v>95</v>
      </c>
      <c r="G13" s="190"/>
      <c r="H13" s="192">
        <v>106088</v>
      </c>
      <c r="I13" s="190">
        <f>H13/$H$41</f>
        <v>1.7731881015481465E-2</v>
      </c>
      <c r="J13" s="192">
        <v>80552</v>
      </c>
      <c r="K13" s="190">
        <f>J13/$J$41</f>
        <v>1.5780264247726172E-2</v>
      </c>
    </row>
    <row r="14" spans="1:11" x14ac:dyDescent="0.2">
      <c r="A14" s="36" t="s">
        <v>277</v>
      </c>
      <c r="B14" s="201" t="s">
        <v>95</v>
      </c>
      <c r="C14" s="190"/>
      <c r="D14" s="201" t="s">
        <v>95</v>
      </c>
      <c r="E14" s="190"/>
      <c r="F14" s="201" t="s">
        <v>95</v>
      </c>
      <c r="G14" s="190"/>
      <c r="H14" s="192">
        <v>1588</v>
      </c>
      <c r="I14" s="190">
        <f>H14/$H$41</f>
        <v>2.6542330002059201E-4</v>
      </c>
      <c r="J14" s="201" t="s">
        <v>95</v>
      </c>
      <c r="K14" s="190"/>
    </row>
    <row r="15" spans="1:11" x14ac:dyDescent="0.2">
      <c r="A15" s="36" t="s">
        <v>278</v>
      </c>
      <c r="B15" s="201" t="s">
        <v>95</v>
      </c>
      <c r="C15" s="190"/>
      <c r="D15" s="201" t="s">
        <v>95</v>
      </c>
      <c r="E15" s="190"/>
      <c r="F15" s="201" t="s">
        <v>95</v>
      </c>
      <c r="G15" s="190"/>
      <c r="H15" s="201" t="s">
        <v>95</v>
      </c>
      <c r="I15" s="190"/>
      <c r="J15" s="192">
        <v>7</v>
      </c>
      <c r="K15" s="190">
        <f>J15/$J$41</f>
        <v>1.3713110752567682E-6</v>
      </c>
    </row>
    <row r="16" spans="1:11" x14ac:dyDescent="0.2">
      <c r="A16" s="36" t="s">
        <v>279</v>
      </c>
      <c r="B16" s="192">
        <v>115535</v>
      </c>
      <c r="C16" s="190">
        <f t="shared" ref="C16:C23" si="0">B16/$B$41</f>
        <v>1.436223282840827E-2</v>
      </c>
      <c r="D16" s="192">
        <v>106880</v>
      </c>
      <c r="E16" s="190">
        <f>D16/$D$41</f>
        <v>1.5428356302645224E-2</v>
      </c>
      <c r="F16" s="192">
        <v>99599</v>
      </c>
      <c r="G16" s="190">
        <f>F16/$F$41</f>
        <v>1.4970634114930532E-2</v>
      </c>
      <c r="H16" s="192">
        <v>104500</v>
      </c>
      <c r="I16" s="190">
        <f>H16/$H$41</f>
        <v>1.7466457715460872E-2</v>
      </c>
      <c r="J16" s="192">
        <v>80545</v>
      </c>
      <c r="K16" s="190">
        <f>J16/$J$41</f>
        <v>1.5778892936650912E-2</v>
      </c>
    </row>
    <row r="17" spans="1:11" x14ac:dyDescent="0.2">
      <c r="A17" s="36" t="s">
        <v>280</v>
      </c>
      <c r="B17" s="192">
        <v>39309</v>
      </c>
      <c r="C17" s="190">
        <f t="shared" si="0"/>
        <v>4.8865279807149406E-3</v>
      </c>
      <c r="D17" s="192">
        <v>35668</v>
      </c>
      <c r="E17" s="190">
        <f>D17/$D$41</f>
        <v>5.148751989172435E-3</v>
      </c>
      <c r="F17" s="192">
        <v>32826</v>
      </c>
      <c r="G17" s="190">
        <f>F17/$F$41</f>
        <v>4.9340458785400417E-3</v>
      </c>
      <c r="H17" s="192">
        <v>26445</v>
      </c>
      <c r="I17" s="190">
        <f>H17/$H$41</f>
        <v>4.4201002323958167E-3</v>
      </c>
      <c r="J17" s="192">
        <v>26096</v>
      </c>
      <c r="K17" s="190">
        <f>J17/$J$41</f>
        <v>5.1122476885572315E-3</v>
      </c>
    </row>
    <row r="18" spans="1:11" x14ac:dyDescent="0.2">
      <c r="A18" s="36" t="s">
        <v>281</v>
      </c>
      <c r="B18" s="192">
        <v>97670</v>
      </c>
      <c r="C18" s="190">
        <f t="shared" si="0"/>
        <v>1.2141422775354963E-2</v>
      </c>
      <c r="D18" s="201" t="s">
        <v>95</v>
      </c>
      <c r="E18" s="190"/>
      <c r="F18" s="201" t="s">
        <v>95</v>
      </c>
      <c r="G18" s="190"/>
      <c r="H18" s="201" t="s">
        <v>95</v>
      </c>
      <c r="I18" s="190"/>
      <c r="J18" s="201" t="s">
        <v>95</v>
      </c>
      <c r="K18" s="190"/>
    </row>
    <row r="19" spans="1:11" x14ac:dyDescent="0.2">
      <c r="A19" s="36" t="s">
        <v>282</v>
      </c>
      <c r="B19" s="192">
        <v>19792</v>
      </c>
      <c r="C19" s="190">
        <f t="shared" si="0"/>
        <v>2.4603567069706707E-3</v>
      </c>
      <c r="D19" s="192">
        <v>86412</v>
      </c>
      <c r="E19" s="190">
        <f>D19/$D$41</f>
        <v>1.2473756781663353E-2</v>
      </c>
      <c r="F19" s="192">
        <v>78756</v>
      </c>
      <c r="G19" s="190">
        <f>F19/$F$41</f>
        <v>1.1837741948769255E-2</v>
      </c>
      <c r="H19" s="192">
        <v>54906</v>
      </c>
      <c r="I19" s="190">
        <f>H19/$H$41</f>
        <v>9.1771610270343987E-3</v>
      </c>
      <c r="J19" s="192">
        <v>57076</v>
      </c>
      <c r="K19" s="190">
        <f>J19/$J$41</f>
        <v>1.1181278704479328E-2</v>
      </c>
    </row>
    <row r="20" spans="1:11" x14ac:dyDescent="0.2">
      <c r="A20" s="36" t="s">
        <v>283</v>
      </c>
      <c r="B20" s="192">
        <v>52960</v>
      </c>
      <c r="C20" s="190">
        <f t="shared" si="0"/>
        <v>6.5834928860735008E-3</v>
      </c>
      <c r="D20" s="192">
        <v>47741</v>
      </c>
      <c r="E20" s="190">
        <f>D20/$D$41</f>
        <v>6.8915153278872156E-3</v>
      </c>
      <c r="F20" s="192">
        <v>94064</v>
      </c>
      <c r="G20" s="190">
        <f>F20/$F$41</f>
        <v>1.4138673354017866E-2</v>
      </c>
      <c r="H20" s="192">
        <v>282783</v>
      </c>
      <c r="I20" s="190">
        <f>H20/$H$41</f>
        <v>4.7265237436853326E-2</v>
      </c>
      <c r="J20" s="192">
        <v>27705</v>
      </c>
      <c r="K20" s="190">
        <f>J20/$J$41</f>
        <v>5.4274533342841087E-3</v>
      </c>
    </row>
    <row r="21" spans="1:11" x14ac:dyDescent="0.2">
      <c r="A21" s="36" t="s">
        <v>284</v>
      </c>
      <c r="B21" s="192">
        <v>734838</v>
      </c>
      <c r="C21" s="190">
        <f t="shared" si="0"/>
        <v>9.1348201386262831E-2</v>
      </c>
      <c r="D21" s="192">
        <v>515136</v>
      </c>
      <c r="E21" s="190">
        <f>D21/$D$41</f>
        <v>7.4360981964066708E-2</v>
      </c>
      <c r="F21" s="192">
        <v>260945</v>
      </c>
      <c r="G21" s="190">
        <f>F21/$F$41</f>
        <v>3.9222403027345129E-2</v>
      </c>
      <c r="H21" s="192">
        <v>343616</v>
      </c>
      <c r="I21" s="190">
        <f>H21/$H$41</f>
        <v>5.7433055831156016E-2</v>
      </c>
      <c r="J21" s="192">
        <v>400156</v>
      </c>
      <c r="K21" s="190">
        <f>J21/$J$41</f>
        <v>7.8391193518635327E-2</v>
      </c>
    </row>
    <row r="22" spans="1:11" x14ac:dyDescent="0.2">
      <c r="A22" s="36" t="s">
        <v>285</v>
      </c>
      <c r="B22" s="192">
        <v>117462</v>
      </c>
      <c r="C22" s="190">
        <f t="shared" si="0"/>
        <v>1.4601779482325633E-2</v>
      </c>
      <c r="D22" s="201" t="s">
        <v>95</v>
      </c>
      <c r="E22" s="190"/>
      <c r="F22" s="201" t="s">
        <v>95</v>
      </c>
      <c r="G22" s="190"/>
      <c r="H22" s="201" t="s">
        <v>95</v>
      </c>
      <c r="I22" s="190"/>
      <c r="J22" s="201" t="s">
        <v>95</v>
      </c>
      <c r="K22" s="190"/>
    </row>
    <row r="23" spans="1:11" x14ac:dyDescent="0.2">
      <c r="A23" s="196" t="s">
        <v>179</v>
      </c>
      <c r="B23" s="54">
        <v>1620713</v>
      </c>
      <c r="C23" s="197">
        <f t="shared" si="0"/>
        <v>0.20147191287512919</v>
      </c>
      <c r="D23" s="54">
        <v>1175837</v>
      </c>
      <c r="E23" s="197">
        <f t="shared" ref="E23:E28" si="1">D23/$D$41</f>
        <v>0.1697345826144597</v>
      </c>
      <c r="F23" s="54">
        <v>1381564</v>
      </c>
      <c r="G23" s="197">
        <f t="shared" ref="G23:G28" si="2">F23/$F$41</f>
        <v>0.20766161457805685</v>
      </c>
      <c r="H23" s="54">
        <v>1420237</v>
      </c>
      <c r="I23" s="197">
        <f t="shared" ref="I23:I28" si="3">H23/$H$41</f>
        <v>0.23738286609026799</v>
      </c>
      <c r="J23" s="54">
        <v>1072204</v>
      </c>
      <c r="K23" s="197">
        <f t="shared" ref="K23:K28" si="4">J23/$J$41</f>
        <v>0.21004646001922969</v>
      </c>
    </row>
    <row r="24" spans="1:11" x14ac:dyDescent="0.2">
      <c r="A24" s="207" t="s">
        <v>286</v>
      </c>
      <c r="B24" s="201" t="s">
        <v>95</v>
      </c>
      <c r="C24" s="190"/>
      <c r="D24" s="192">
        <v>12943</v>
      </c>
      <c r="E24" s="190">
        <f t="shared" si="1"/>
        <v>1.8683496970914777E-3</v>
      </c>
      <c r="F24" s="192">
        <v>12943</v>
      </c>
      <c r="G24" s="190">
        <f t="shared" si="2"/>
        <v>1.9454504297186305E-3</v>
      </c>
      <c r="H24" s="192">
        <v>12943</v>
      </c>
      <c r="I24" s="190">
        <f t="shared" si="3"/>
        <v>2.1633336096766515E-3</v>
      </c>
      <c r="J24" s="192">
        <v>12943</v>
      </c>
      <c r="K24" s="190">
        <f t="shared" si="4"/>
        <v>2.5355541781497642E-3</v>
      </c>
    </row>
    <row r="25" spans="1:11" x14ac:dyDescent="0.2">
      <c r="A25" s="207" t="s">
        <v>287</v>
      </c>
      <c r="B25" s="192">
        <v>267294</v>
      </c>
      <c r="C25" s="190">
        <f>B25/$B$41</f>
        <v>3.3227495232064398E-2</v>
      </c>
      <c r="D25" s="192">
        <v>2317277</v>
      </c>
      <c r="E25" s="190">
        <f t="shared" si="1"/>
        <v>0.33450388480468579</v>
      </c>
      <c r="F25" s="192">
        <v>2094227</v>
      </c>
      <c r="G25" s="190">
        <f t="shared" si="2"/>
        <v>0.31478133485887028</v>
      </c>
      <c r="H25" s="192">
        <v>1921371</v>
      </c>
      <c r="I25" s="190">
        <f t="shared" si="3"/>
        <v>0.32114397442308873</v>
      </c>
      <c r="J25" s="192">
        <v>1765464</v>
      </c>
      <c r="K25" s="190">
        <f t="shared" si="4"/>
        <v>0.34585719088101641</v>
      </c>
    </row>
    <row r="26" spans="1:11" x14ac:dyDescent="0.2">
      <c r="A26" s="207" t="s">
        <v>288</v>
      </c>
      <c r="B26" s="201" t="s">
        <v>95</v>
      </c>
      <c r="C26" s="190"/>
      <c r="D26" s="192">
        <v>242166</v>
      </c>
      <c r="E26" s="190">
        <f t="shared" si="1"/>
        <v>3.495717938235763E-2</v>
      </c>
      <c r="F26" s="192">
        <v>222774</v>
      </c>
      <c r="G26" s="190">
        <f t="shared" si="2"/>
        <v>3.3484955113199273E-2</v>
      </c>
      <c r="H26" s="192">
        <v>198387</v>
      </c>
      <c r="I26" s="190">
        <f t="shared" si="3"/>
        <v>3.3159025328202259E-2</v>
      </c>
      <c r="J26" s="192">
        <v>182391</v>
      </c>
      <c r="K26" s="190">
        <f t="shared" si="4"/>
        <v>3.5730685475308173E-2</v>
      </c>
    </row>
    <row r="27" spans="1:11" x14ac:dyDescent="0.2">
      <c r="A27" s="207" t="s">
        <v>289</v>
      </c>
      <c r="B27" s="192">
        <v>1114236</v>
      </c>
      <c r="C27" s="190">
        <f t="shared" ref="C27:C33" si="5">B27/$B$41</f>
        <v>0.13851141955073629</v>
      </c>
      <c r="D27" s="192">
        <v>989895</v>
      </c>
      <c r="E27" s="190">
        <f t="shared" si="1"/>
        <v>0.1428934577302301</v>
      </c>
      <c r="F27" s="192">
        <v>868435</v>
      </c>
      <c r="G27" s="190">
        <f t="shared" si="2"/>
        <v>0.13053366637817343</v>
      </c>
      <c r="H27" s="192">
        <v>755003</v>
      </c>
      <c r="I27" s="190">
        <f t="shared" si="3"/>
        <v>0.12619356913441249</v>
      </c>
      <c r="J27" s="192">
        <v>653909</v>
      </c>
      <c r="K27" s="190">
        <f t="shared" si="4"/>
        <v>0.12810180770143972</v>
      </c>
    </row>
    <row r="28" spans="1:11" x14ac:dyDescent="0.2">
      <c r="A28" s="207" t="s">
        <v>290</v>
      </c>
      <c r="B28" s="192">
        <v>161721</v>
      </c>
      <c r="C28" s="190">
        <f t="shared" si="5"/>
        <v>2.0103645261115799E-2</v>
      </c>
      <c r="D28" s="192">
        <v>123453</v>
      </c>
      <c r="E28" s="190">
        <f t="shared" si="1"/>
        <v>1.7820704253653265E-2</v>
      </c>
      <c r="F28" s="192">
        <v>107222</v>
      </c>
      <c r="G28" s="190">
        <f t="shared" si="2"/>
        <v>1.6116440236057405E-2</v>
      </c>
      <c r="H28" s="192">
        <v>76317</v>
      </c>
      <c r="I28" s="190">
        <f t="shared" si="3"/>
        <v>1.2755862712639498E-2</v>
      </c>
      <c r="J28" s="192">
        <v>45422</v>
      </c>
      <c r="K28" s="190">
        <f t="shared" si="4"/>
        <v>8.898241665758989E-3</v>
      </c>
    </row>
    <row r="29" spans="1:11" x14ac:dyDescent="0.2">
      <c r="A29" s="207" t="s">
        <v>291</v>
      </c>
      <c r="B29" s="192">
        <v>12943</v>
      </c>
      <c r="C29" s="190">
        <f t="shared" si="5"/>
        <v>1.6089529536338618E-3</v>
      </c>
      <c r="D29" s="201" t="s">
        <v>95</v>
      </c>
      <c r="E29" s="190"/>
      <c r="F29" s="201" t="s">
        <v>95</v>
      </c>
      <c r="G29" s="190"/>
      <c r="H29" s="201" t="s">
        <v>95</v>
      </c>
      <c r="I29" s="190"/>
      <c r="J29" s="201" t="s">
        <v>95</v>
      </c>
      <c r="K29" s="190"/>
    </row>
    <row r="30" spans="1:11" x14ac:dyDescent="0.2">
      <c r="A30" s="207" t="s">
        <v>292</v>
      </c>
      <c r="B30" s="192">
        <v>2595866</v>
      </c>
      <c r="C30" s="190">
        <f t="shared" si="5"/>
        <v>0.32269383202794705</v>
      </c>
      <c r="D30" s="201" t="s">
        <v>95</v>
      </c>
      <c r="E30" s="190"/>
      <c r="F30" s="201" t="s">
        <v>95</v>
      </c>
      <c r="G30" s="190"/>
      <c r="H30" s="201" t="s">
        <v>95</v>
      </c>
      <c r="I30" s="190"/>
      <c r="J30" s="201" t="s">
        <v>95</v>
      </c>
      <c r="K30" s="190"/>
    </row>
    <row r="31" spans="1:11" x14ac:dyDescent="0.2">
      <c r="A31" s="207" t="s">
        <v>293</v>
      </c>
      <c r="B31" s="192">
        <v>4152060</v>
      </c>
      <c r="C31" s="190">
        <f t="shared" si="5"/>
        <v>0.51614534502549736</v>
      </c>
      <c r="D31" s="192">
        <v>3685734</v>
      </c>
      <c r="E31" s="190">
        <f>D31/$D$41</f>
        <v>0.53204357586801831</v>
      </c>
      <c r="F31" s="192">
        <v>3305601</v>
      </c>
      <c r="G31" s="190">
        <f>F31/$F$41</f>
        <v>0.49686184701601904</v>
      </c>
      <c r="H31" s="192">
        <v>2964021</v>
      </c>
      <c r="I31" s="190">
        <f>H31/$H$41</f>
        <v>0.49541576520801966</v>
      </c>
      <c r="J31" s="192">
        <v>2660129</v>
      </c>
      <c r="K31" s="190">
        <f>J31/$J$41</f>
        <v>0.52112347990167307</v>
      </c>
    </row>
    <row r="32" spans="1:11" x14ac:dyDescent="0.2">
      <c r="A32" s="207" t="s">
        <v>294</v>
      </c>
      <c r="B32" s="192">
        <v>1982022</v>
      </c>
      <c r="C32" s="190">
        <f t="shared" si="5"/>
        <v>0.2463864753973031</v>
      </c>
      <c r="D32" s="192">
        <v>1734587</v>
      </c>
      <c r="E32" s="190">
        <f>D32/$D$41</f>
        <v>0.25039133864087265</v>
      </c>
      <c r="F32" s="192">
        <v>1536323</v>
      </c>
      <c r="G32" s="190">
        <f>F32/$F$41</f>
        <v>0.23092329757680718</v>
      </c>
      <c r="H32" s="192">
        <v>1379710</v>
      </c>
      <c r="I32" s="190">
        <f>H32/$H$41</f>
        <v>0.2306090562162538</v>
      </c>
      <c r="J32" s="192">
        <v>1201439</v>
      </c>
      <c r="K32" s="190">
        <f>J32/$J$41</f>
        <v>0.23536380099220233</v>
      </c>
    </row>
    <row r="33" spans="1:11" x14ac:dyDescent="0.2">
      <c r="A33" s="207" t="s">
        <v>295</v>
      </c>
      <c r="B33" s="192">
        <v>2170038</v>
      </c>
      <c r="C33" s="190">
        <f t="shared" si="5"/>
        <v>0.26975886962819423</v>
      </c>
      <c r="D33" s="192">
        <v>1951147</v>
      </c>
      <c r="E33" s="190">
        <f>D33/$D$41</f>
        <v>0.28165223722714561</v>
      </c>
      <c r="F33" s="192">
        <v>1769278</v>
      </c>
      <c r="G33" s="190">
        <f>F33/$F$41</f>
        <v>0.26593854943921186</v>
      </c>
      <c r="H33" s="192">
        <v>1584311</v>
      </c>
      <c r="I33" s="190">
        <f>H33/$H$41</f>
        <v>0.26480670899176584</v>
      </c>
      <c r="J33" s="192">
        <v>1458690</v>
      </c>
      <c r="K33" s="190">
        <f>J33/$J$41</f>
        <v>0.28575967890947074</v>
      </c>
    </row>
    <row r="34" spans="1:11" x14ac:dyDescent="0.2">
      <c r="A34" s="208" t="s">
        <v>296</v>
      </c>
      <c r="B34" s="209">
        <f>SUM(B24:B31)+B33-B32</f>
        <v>8492136</v>
      </c>
      <c r="C34" s="210">
        <f t="shared" ref="C34:K34" si="6">SUM(C24:C31)+C33-C32</f>
        <v>1.0556630842818859</v>
      </c>
      <c r="D34" s="209">
        <f>SUM(D24:D31)+D33-D32</f>
        <v>7588028</v>
      </c>
      <c r="E34" s="210">
        <f t="shared" si="6"/>
        <v>1.0953480503223094</v>
      </c>
      <c r="F34" s="209">
        <f t="shared" si="6"/>
        <v>6844157</v>
      </c>
      <c r="G34" s="210">
        <f t="shared" si="6"/>
        <v>1.0287389458944427</v>
      </c>
      <c r="H34" s="209">
        <f t="shared" si="6"/>
        <v>6132643</v>
      </c>
      <c r="I34" s="210">
        <f t="shared" si="6"/>
        <v>1.0250291831915515</v>
      </c>
      <c r="J34" s="209">
        <f t="shared" si="6"/>
        <v>5577509</v>
      </c>
      <c r="K34" s="210">
        <f t="shared" si="6"/>
        <v>1.0926428377206145</v>
      </c>
    </row>
    <row r="35" spans="1:11" x14ac:dyDescent="0.2">
      <c r="A35" s="36" t="s">
        <v>297</v>
      </c>
      <c r="B35" s="201" t="s">
        <v>95</v>
      </c>
      <c r="C35" s="190"/>
      <c r="D35" s="192">
        <v>388055</v>
      </c>
      <c r="E35" s="190">
        <f>D35/$D$41</f>
        <v>5.6016568160769019E-2</v>
      </c>
      <c r="F35" s="192">
        <v>274311</v>
      </c>
      <c r="G35" s="190">
        <f>F35/$F$41</f>
        <v>4.1231434198141639E-2</v>
      </c>
      <c r="H35" s="192">
        <v>102328</v>
      </c>
      <c r="I35" s="190">
        <f>H35/$H$41</f>
        <v>1.710342282399694E-2</v>
      </c>
      <c r="J35" s="201" t="s">
        <v>95</v>
      </c>
      <c r="K35" s="190"/>
    </row>
    <row r="36" spans="1:11" x14ac:dyDescent="0.2">
      <c r="A36" s="36" t="s">
        <v>298</v>
      </c>
      <c r="B36" s="192">
        <v>564488</v>
      </c>
      <c r="C36" s="190">
        <f t="shared" ref="C36:C42" si="7">B36/$B$41</f>
        <v>7.0171879385835689E-2</v>
      </c>
      <c r="D36" s="201" t="s">
        <v>95</v>
      </c>
      <c r="E36" s="190"/>
      <c r="F36" s="201" t="s">
        <v>95</v>
      </c>
      <c r="G36" s="190"/>
      <c r="H36" s="201" t="s">
        <v>95</v>
      </c>
      <c r="I36" s="190"/>
      <c r="J36" s="201" t="s">
        <v>95</v>
      </c>
      <c r="K36" s="190"/>
    </row>
    <row r="37" spans="1:11" x14ac:dyDescent="0.2">
      <c r="A37" s="36" t="s">
        <v>299</v>
      </c>
      <c r="B37" s="192">
        <v>63082</v>
      </c>
      <c r="C37" s="190">
        <f t="shared" si="7"/>
        <v>7.8417654501376239E-3</v>
      </c>
      <c r="D37" s="192">
        <v>63158</v>
      </c>
      <c r="E37" s="190">
        <f t="shared" ref="E37:E43" si="8">D37/$D$41</f>
        <v>9.1169922096039201E-3</v>
      </c>
      <c r="F37" s="192">
        <v>56716</v>
      </c>
      <c r="G37" s="190">
        <f t="shared" ref="G37:G43" si="9">F37/$F$41</f>
        <v>8.5249298131748318E-3</v>
      </c>
      <c r="H37" s="192">
        <v>59047</v>
      </c>
      <c r="I37" s="190">
        <f t="shared" ref="I37:I44" si="10">H37/$H$41</f>
        <v>9.8693007533475433E-3</v>
      </c>
      <c r="J37" s="192">
        <v>18450</v>
      </c>
      <c r="K37" s="190">
        <f t="shared" ref="K37:K44" si="11">J37/$J$41</f>
        <v>3.614384191212482E-3</v>
      </c>
    </row>
    <row r="38" spans="1:11" x14ac:dyDescent="0.2">
      <c r="A38" s="36" t="s">
        <v>300</v>
      </c>
      <c r="B38" s="192">
        <v>25554</v>
      </c>
      <c r="C38" s="190">
        <f t="shared" si="7"/>
        <v>3.1766347660634863E-3</v>
      </c>
      <c r="D38" s="192">
        <v>24966</v>
      </c>
      <c r="E38" s="190">
        <f t="shared" si="8"/>
        <v>3.6038954290030004E-3</v>
      </c>
      <c r="F38" s="192">
        <v>30856</v>
      </c>
      <c r="G38" s="190">
        <f t="shared" si="9"/>
        <v>4.6379369898321915E-3</v>
      </c>
      <c r="H38" s="192">
        <v>27849</v>
      </c>
      <c r="I38" s="190">
        <f t="shared" si="10"/>
        <v>4.6547691953863143E-3</v>
      </c>
      <c r="J38" s="192">
        <v>27855</v>
      </c>
      <c r="K38" s="190">
        <f t="shared" si="11"/>
        <v>5.4568385716110401E-3</v>
      </c>
    </row>
    <row r="39" spans="1:11" x14ac:dyDescent="0.2">
      <c r="A39" s="211" t="s">
        <v>301</v>
      </c>
      <c r="B39" s="212">
        <v>3578548</v>
      </c>
      <c r="C39" s="213">
        <f t="shared" si="7"/>
        <v>0.44485168618717058</v>
      </c>
      <c r="D39" s="212">
        <v>3302402</v>
      </c>
      <c r="E39" s="213">
        <f t="shared" si="8"/>
        <v>0.47670878284588503</v>
      </c>
      <c r="F39" s="212">
        <v>3118294</v>
      </c>
      <c r="G39" s="213">
        <f t="shared" si="9"/>
        <v>0.46870790406312501</v>
      </c>
      <c r="H39" s="212">
        <v>2767185</v>
      </c>
      <c r="I39" s="213">
        <f t="shared" si="10"/>
        <v>0.46251597888380475</v>
      </c>
      <c r="J39" s="212">
        <v>2505466</v>
      </c>
      <c r="K39" s="213">
        <f t="shared" si="11"/>
        <v>0.49082475349703913</v>
      </c>
    </row>
    <row r="40" spans="1:11" x14ac:dyDescent="0.2">
      <c r="A40" s="36" t="s">
        <v>302</v>
      </c>
      <c r="B40" s="192">
        <v>21939</v>
      </c>
      <c r="C40" s="190">
        <f t="shared" si="7"/>
        <v>2.7272517074691566E-3</v>
      </c>
      <c r="D40" s="192">
        <v>21939</v>
      </c>
      <c r="E40" s="190">
        <f t="shared" si="8"/>
        <v>3.1669415131337347E-3</v>
      </c>
      <c r="F40" s="192">
        <v>21939</v>
      </c>
      <c r="G40" s="190">
        <f t="shared" si="9"/>
        <v>3.2976309184576244E-3</v>
      </c>
      <c r="H40" s="192">
        <v>21939</v>
      </c>
      <c r="I40" s="190">
        <f t="shared" si="10"/>
        <v>3.6669532614305848E-3</v>
      </c>
      <c r="J40" s="192">
        <v>21939</v>
      </c>
      <c r="K40" s="190">
        <f t="shared" si="11"/>
        <v>4.2978848114368908E-3</v>
      </c>
    </row>
    <row r="41" spans="1:11" x14ac:dyDescent="0.2">
      <c r="A41" s="193" t="s">
        <v>303</v>
      </c>
      <c r="B41" s="202">
        <v>8044362</v>
      </c>
      <c r="C41" s="195">
        <f t="shared" si="7"/>
        <v>1</v>
      </c>
      <c r="D41" s="202">
        <v>6927504</v>
      </c>
      <c r="E41" s="195">
        <f t="shared" si="8"/>
        <v>1</v>
      </c>
      <c r="F41" s="202">
        <v>6652958</v>
      </c>
      <c r="G41" s="195">
        <f t="shared" si="9"/>
        <v>1</v>
      </c>
      <c r="H41" s="202">
        <v>5982896</v>
      </c>
      <c r="I41" s="195">
        <f t="shared" si="10"/>
        <v>1</v>
      </c>
      <c r="J41" s="202">
        <v>5104604</v>
      </c>
      <c r="K41" s="195">
        <f t="shared" si="11"/>
        <v>1</v>
      </c>
    </row>
    <row r="42" spans="1:11" x14ac:dyDescent="0.2">
      <c r="A42" s="36" t="s">
        <v>304</v>
      </c>
      <c r="B42" s="192">
        <v>197646</v>
      </c>
      <c r="C42" s="190">
        <f t="shared" si="7"/>
        <v>2.4569505947146585E-2</v>
      </c>
      <c r="D42" s="192">
        <v>184566</v>
      </c>
      <c r="E42" s="190">
        <f t="shared" si="8"/>
        <v>2.6642496345003916E-2</v>
      </c>
      <c r="F42" s="192">
        <v>163161</v>
      </c>
      <c r="G42" s="190">
        <f t="shared" si="9"/>
        <v>2.4524579893635282E-2</v>
      </c>
      <c r="H42" s="192">
        <v>121990</v>
      </c>
      <c r="I42" s="190">
        <f t="shared" si="10"/>
        <v>2.0389791164680114E-2</v>
      </c>
      <c r="J42" s="192">
        <v>115816</v>
      </c>
      <c r="K42" s="190">
        <f t="shared" si="11"/>
        <v>2.2688537641705409E-2</v>
      </c>
    </row>
    <row r="43" spans="1:11" x14ac:dyDescent="0.2">
      <c r="A43" s="36" t="s">
        <v>305</v>
      </c>
      <c r="B43" s="201" t="s">
        <v>95</v>
      </c>
      <c r="C43" s="190"/>
      <c r="D43" s="192">
        <v>27531</v>
      </c>
      <c r="E43" s="190">
        <f t="shared" si="8"/>
        <v>3.9741586580101579E-3</v>
      </c>
      <c r="F43" s="192">
        <v>27456</v>
      </c>
      <c r="G43" s="190">
        <f t="shared" si="9"/>
        <v>4.1268861159201664E-3</v>
      </c>
      <c r="H43" s="192">
        <v>27630</v>
      </c>
      <c r="I43" s="190">
        <f t="shared" si="10"/>
        <v>4.6181648485950615E-3</v>
      </c>
      <c r="J43" s="192">
        <v>29837</v>
      </c>
      <c r="K43" s="190">
        <f t="shared" si="11"/>
        <v>5.8451155074908849E-3</v>
      </c>
    </row>
    <row r="44" spans="1:11" x14ac:dyDescent="0.2">
      <c r="A44" s="36" t="s">
        <v>306</v>
      </c>
      <c r="B44" s="201" t="s">
        <v>95</v>
      </c>
      <c r="C44" s="190"/>
      <c r="D44" s="201" t="s">
        <v>95</v>
      </c>
      <c r="E44" s="190"/>
      <c r="F44" s="201" t="s">
        <v>95</v>
      </c>
      <c r="G44" s="190"/>
      <c r="H44" s="192">
        <v>41784</v>
      </c>
      <c r="I44" s="190">
        <f t="shared" si="10"/>
        <v>6.98390879600782E-3</v>
      </c>
      <c r="J44" s="192">
        <v>31188</v>
      </c>
      <c r="K44" s="190">
        <f t="shared" si="11"/>
        <v>6.1097785450154414E-3</v>
      </c>
    </row>
    <row r="45" spans="1:11" x14ac:dyDescent="0.2">
      <c r="A45" s="36" t="s">
        <v>307</v>
      </c>
      <c r="B45" s="201" t="s">
        <v>95</v>
      </c>
      <c r="C45" s="190"/>
      <c r="D45" s="192">
        <v>109190</v>
      </c>
      <c r="E45" s="190">
        <f>D45/$D$41</f>
        <v>1.5761809736955762E-2</v>
      </c>
      <c r="F45" s="192">
        <v>107799</v>
      </c>
      <c r="G45" s="190">
        <f>F45/$F$41</f>
        <v>1.6203168575541885E-2</v>
      </c>
      <c r="H45" s="201" t="s">
        <v>95</v>
      </c>
      <c r="I45" s="190"/>
      <c r="J45" s="201" t="s">
        <v>95</v>
      </c>
      <c r="K45" s="190"/>
    </row>
    <row r="46" spans="1:11" x14ac:dyDescent="0.2">
      <c r="A46" s="36" t="s">
        <v>308</v>
      </c>
      <c r="B46" s="201" t="s">
        <v>95</v>
      </c>
      <c r="C46" s="190"/>
      <c r="D46" s="201" t="s">
        <v>95</v>
      </c>
      <c r="E46" s="190"/>
      <c r="F46" s="201" t="s">
        <v>95</v>
      </c>
      <c r="G46" s="190"/>
      <c r="H46" s="192">
        <v>70812</v>
      </c>
      <c r="I46" s="190">
        <f>H46/$H$41</f>
        <v>1.1835739748777181E-2</v>
      </c>
      <c r="J46" s="201" t="s">
        <v>95</v>
      </c>
      <c r="K46" s="190"/>
    </row>
    <row r="47" spans="1:11" x14ac:dyDescent="0.2">
      <c r="A47" s="36" t="s">
        <v>309</v>
      </c>
      <c r="B47" s="192">
        <v>227537</v>
      </c>
      <c r="C47" s="190">
        <f>B47/$B$41</f>
        <v>2.8285276072856989E-2</v>
      </c>
      <c r="D47" s="192">
        <v>33735</v>
      </c>
      <c r="E47" s="190">
        <f>D47/$D$41</f>
        <v>4.8697193101584638E-3</v>
      </c>
      <c r="F47" s="192">
        <v>27150</v>
      </c>
      <c r="G47" s="190">
        <f>F47/$F$41</f>
        <v>4.0808915372680847E-3</v>
      </c>
      <c r="H47" s="192">
        <v>62828</v>
      </c>
      <c r="I47" s="190">
        <f>H47/$H$41</f>
        <v>1.0501268950688763E-2</v>
      </c>
      <c r="J47" s="192">
        <v>65575</v>
      </c>
      <c r="K47" s="190">
        <f>J47/$J$41</f>
        <v>1.2846246251423225E-2</v>
      </c>
    </row>
    <row r="48" spans="1:11" x14ac:dyDescent="0.2">
      <c r="A48" s="36" t="s">
        <v>310</v>
      </c>
      <c r="B48" s="201" t="s">
        <v>95</v>
      </c>
      <c r="C48" s="190"/>
      <c r="D48" s="192">
        <v>170456</v>
      </c>
      <c r="E48" s="190">
        <f>D48/$D$41</f>
        <v>2.4605687705124387E-2</v>
      </c>
      <c r="F48" s="192">
        <v>162405</v>
      </c>
      <c r="G48" s="190">
        <f>F48/$F$41</f>
        <v>2.4410946228730138E-2</v>
      </c>
      <c r="H48" s="192">
        <v>203054</v>
      </c>
      <c r="I48" s="190">
        <f>H48/$H$41</f>
        <v>3.3939082344068824E-2</v>
      </c>
      <c r="J48" s="192">
        <v>126600</v>
      </c>
      <c r="K48" s="190">
        <f>J48/$J$41</f>
        <v>2.4801140303929551E-2</v>
      </c>
    </row>
    <row r="49" spans="1:11" x14ac:dyDescent="0.2">
      <c r="A49" s="36" t="s">
        <v>311</v>
      </c>
      <c r="B49" s="201" t="s">
        <v>95</v>
      </c>
      <c r="C49" s="190"/>
      <c r="D49" s="201" t="s">
        <v>95</v>
      </c>
      <c r="E49" s="190"/>
      <c r="F49" s="201" t="s">
        <v>95</v>
      </c>
      <c r="G49" s="190"/>
      <c r="H49" s="201" t="s">
        <v>95</v>
      </c>
      <c r="I49" s="190"/>
      <c r="J49" s="192">
        <v>26484</v>
      </c>
      <c r="K49" s="190">
        <f>J49/$J$41</f>
        <v>5.1882575024428928E-3</v>
      </c>
    </row>
    <row r="50" spans="1:11" x14ac:dyDescent="0.2">
      <c r="A50" s="36" t="s">
        <v>312</v>
      </c>
      <c r="B50" s="192">
        <v>42071</v>
      </c>
      <c r="C50" s="190">
        <f>B50/$B$41</f>
        <v>5.2298740409742871E-3</v>
      </c>
      <c r="D50" s="192">
        <v>35567</v>
      </c>
      <c r="E50" s="190">
        <f>D50/$D$41</f>
        <v>5.134172423429853E-3</v>
      </c>
      <c r="F50" s="192">
        <v>32004</v>
      </c>
      <c r="G50" s="190">
        <f>F50/$F$41</f>
        <v>4.8104918143177817E-3</v>
      </c>
      <c r="H50" s="192">
        <v>26419</v>
      </c>
      <c r="I50" s="190">
        <f>H50/$H$41</f>
        <v>4.415754510858955E-3</v>
      </c>
      <c r="J50" s="201" t="s">
        <v>95</v>
      </c>
      <c r="K50" s="190"/>
    </row>
    <row r="51" spans="1:11" x14ac:dyDescent="0.2">
      <c r="A51" s="36" t="s">
        <v>313</v>
      </c>
      <c r="B51" s="192">
        <v>30169</v>
      </c>
      <c r="C51" s="190">
        <f>B51/$B$41</f>
        <v>3.7503284909356392E-3</v>
      </c>
      <c r="D51" s="192">
        <v>15227</v>
      </c>
      <c r="E51" s="190">
        <f>D51/$D$41</f>
        <v>2.198049975864323E-3</v>
      </c>
      <c r="F51" s="192">
        <v>48098</v>
      </c>
      <c r="G51" s="190">
        <f>F51/$F$41</f>
        <v>7.22956615688841E-3</v>
      </c>
      <c r="H51" s="192">
        <v>51214</v>
      </c>
      <c r="I51" s="190">
        <f>H51/$H$41</f>
        <v>8.5600685688001256E-3</v>
      </c>
      <c r="J51" s="192">
        <v>45721</v>
      </c>
      <c r="K51" s="190">
        <f t="shared" ref="K51:K68" si="12">J51/$J$41</f>
        <v>8.9568162388306716E-3</v>
      </c>
    </row>
    <row r="52" spans="1:11" x14ac:dyDescent="0.2">
      <c r="A52" s="36" t="s">
        <v>314</v>
      </c>
      <c r="B52" s="201" t="s">
        <v>95</v>
      </c>
      <c r="C52" s="190"/>
      <c r="D52" s="201" t="s">
        <v>95</v>
      </c>
      <c r="E52" s="190"/>
      <c r="F52" s="201" t="s">
        <v>95</v>
      </c>
      <c r="G52" s="190"/>
      <c r="H52" s="201" t="s">
        <v>95</v>
      </c>
      <c r="I52" s="190"/>
      <c r="J52" s="192">
        <v>15000</v>
      </c>
      <c r="K52" s="190">
        <f t="shared" si="12"/>
        <v>2.9385237326930748E-3</v>
      </c>
    </row>
    <row r="53" spans="1:11" x14ac:dyDescent="0.2">
      <c r="A53" s="36" t="s">
        <v>315</v>
      </c>
      <c r="B53" s="192">
        <v>75448</v>
      </c>
      <c r="C53" s="190">
        <f t="shared" ref="C53:C68" si="13">B53/$B$41</f>
        <v>9.3789911493291824E-3</v>
      </c>
      <c r="D53" s="192">
        <v>96745</v>
      </c>
      <c r="E53" s="190">
        <f t="shared" ref="E53:E68" si="14">D53/$D$41</f>
        <v>1.3965347403624739E-2</v>
      </c>
      <c r="F53" s="192">
        <v>92950</v>
      </c>
      <c r="G53" s="190">
        <f t="shared" ref="G53:G68" si="15">F53/$F$41</f>
        <v>1.3971229038271398E-2</v>
      </c>
      <c r="H53" s="192">
        <v>87016</v>
      </c>
      <c r="I53" s="190">
        <f t="shared" ref="I53:I68" si="16">H53/$H$41</f>
        <v>1.4544127125057831E-2</v>
      </c>
      <c r="J53" s="192">
        <v>68638</v>
      </c>
      <c r="K53" s="190">
        <f t="shared" si="12"/>
        <v>1.3446292797639151E-2</v>
      </c>
    </row>
    <row r="54" spans="1:11" x14ac:dyDescent="0.2">
      <c r="A54" s="36" t="s">
        <v>316</v>
      </c>
      <c r="B54" s="192">
        <v>147688</v>
      </c>
      <c r="C54" s="190">
        <f t="shared" si="13"/>
        <v>1.835919368123911E-2</v>
      </c>
      <c r="D54" s="192">
        <v>147539</v>
      </c>
      <c r="E54" s="190">
        <f t="shared" si="14"/>
        <v>2.1297569802918914E-2</v>
      </c>
      <c r="F54" s="192">
        <v>173052</v>
      </c>
      <c r="G54" s="190">
        <f t="shared" si="15"/>
        <v>2.601128700947759E-2</v>
      </c>
      <c r="H54" s="192">
        <v>164649</v>
      </c>
      <c r="I54" s="190">
        <f t="shared" si="16"/>
        <v>2.7519950204716911E-2</v>
      </c>
      <c r="J54" s="192">
        <v>155843</v>
      </c>
      <c r="K54" s="190">
        <f t="shared" si="12"/>
        <v>3.052989027160579E-2</v>
      </c>
    </row>
    <row r="55" spans="1:11" x14ac:dyDescent="0.2">
      <c r="A55" s="214" t="s">
        <v>317</v>
      </c>
      <c r="B55" s="215">
        <v>209680</v>
      </c>
      <c r="C55" s="216">
        <f t="shared" si="13"/>
        <v>2.6065460505133906E-2</v>
      </c>
      <c r="D55" s="215">
        <v>183071</v>
      </c>
      <c r="E55" s="216">
        <f t="shared" si="14"/>
        <v>2.6426689901586489E-2</v>
      </c>
      <c r="F55" s="215">
        <v>156351</v>
      </c>
      <c r="G55" s="216">
        <f t="shared" si="15"/>
        <v>2.3500975055005608E-2</v>
      </c>
      <c r="H55" s="215">
        <v>127750</v>
      </c>
      <c r="I55" s="216">
        <f t="shared" si="16"/>
        <v>2.1352535628230876E-2</v>
      </c>
      <c r="J55" s="215">
        <v>95195</v>
      </c>
      <c r="K55" s="216">
        <f t="shared" si="12"/>
        <v>1.864885111558115E-2</v>
      </c>
    </row>
    <row r="56" spans="1:11" x14ac:dyDescent="0.2">
      <c r="A56" s="217" t="s">
        <v>183</v>
      </c>
      <c r="B56" s="218">
        <v>248074</v>
      </c>
      <c r="C56" s="219">
        <f t="shared" si="13"/>
        <v>3.0838244226204639E-2</v>
      </c>
      <c r="D56" s="218">
        <v>236248</v>
      </c>
      <c r="E56" s="219">
        <f t="shared" si="14"/>
        <v>3.4102903441123961E-2</v>
      </c>
      <c r="F56" s="218">
        <v>218713</v>
      </c>
      <c r="G56" s="219">
        <f t="shared" si="15"/>
        <v>3.2874549937035528E-2</v>
      </c>
      <c r="H56" s="218">
        <v>204756</v>
      </c>
      <c r="I56" s="219">
        <f t="shared" si="16"/>
        <v>3.4223559961597191E-2</v>
      </c>
      <c r="J56" s="218">
        <v>173139</v>
      </c>
      <c r="K56" s="219">
        <f t="shared" si="12"/>
        <v>3.3918204036983084E-2</v>
      </c>
    </row>
    <row r="57" spans="1:11" x14ac:dyDescent="0.2">
      <c r="A57" s="196" t="s">
        <v>182</v>
      </c>
      <c r="B57" s="54">
        <v>1030625</v>
      </c>
      <c r="C57" s="197">
        <f t="shared" si="13"/>
        <v>0.12811768043258123</v>
      </c>
      <c r="D57" s="54">
        <v>921880</v>
      </c>
      <c r="E57" s="197">
        <f t="shared" si="14"/>
        <v>0.13307534719575767</v>
      </c>
      <c r="F57" s="54">
        <v>873682</v>
      </c>
      <c r="G57" s="197">
        <f t="shared" si="15"/>
        <v>0.13132233812388414</v>
      </c>
      <c r="H57" s="54">
        <v>822199</v>
      </c>
      <c r="I57" s="197">
        <f t="shared" si="16"/>
        <v>0.13742491930329392</v>
      </c>
      <c r="J57" s="54">
        <v>666593</v>
      </c>
      <c r="K57" s="197">
        <f t="shared" si="12"/>
        <v>0.13058662336980498</v>
      </c>
    </row>
    <row r="58" spans="1:11" x14ac:dyDescent="0.2">
      <c r="A58" s="207" t="s">
        <v>318</v>
      </c>
      <c r="B58" s="218">
        <v>3803551</v>
      </c>
      <c r="C58" s="219">
        <f t="shared" si="13"/>
        <v>0.47282195903167956</v>
      </c>
      <c r="D58" s="218">
        <v>3495162</v>
      </c>
      <c r="E58" s="219">
        <f t="shared" si="14"/>
        <v>0.50453410059380699</v>
      </c>
      <c r="F58" s="218">
        <v>3301601</v>
      </c>
      <c r="G58" s="219">
        <f t="shared" si="15"/>
        <v>0.49626061069376959</v>
      </c>
      <c r="H58" s="218">
        <v>2952296</v>
      </c>
      <c r="I58" s="219">
        <f t="shared" si="16"/>
        <v>0.49345601193803135</v>
      </c>
      <c r="J58" s="218">
        <v>2678374</v>
      </c>
      <c r="K58" s="219">
        <f t="shared" si="12"/>
        <v>0.52469770426853879</v>
      </c>
    </row>
    <row r="59" spans="1:11" x14ac:dyDescent="0.2">
      <c r="A59" s="36" t="s">
        <v>319</v>
      </c>
      <c r="B59" s="192">
        <v>89109</v>
      </c>
      <c r="C59" s="190">
        <f t="shared" si="13"/>
        <v>1.1077199161350521E-2</v>
      </c>
      <c r="D59" s="192">
        <v>98623</v>
      </c>
      <c r="E59" s="190">
        <f t="shared" si="14"/>
        <v>1.4236440715155127E-2</v>
      </c>
      <c r="F59" s="192">
        <v>141765</v>
      </c>
      <c r="G59" s="190">
        <f t="shared" si="15"/>
        <v>2.130856680592302E-2</v>
      </c>
      <c r="H59" s="192">
        <v>149422</v>
      </c>
      <c r="I59" s="190">
        <f t="shared" si="16"/>
        <v>2.4974861672340618E-2</v>
      </c>
      <c r="J59" s="192">
        <v>37814</v>
      </c>
      <c r="K59" s="190">
        <f t="shared" si="12"/>
        <v>7.4078224285370614E-3</v>
      </c>
    </row>
    <row r="60" spans="1:11" x14ac:dyDescent="0.2">
      <c r="A60" s="36" t="s">
        <v>320</v>
      </c>
      <c r="B60" s="192">
        <v>58870</v>
      </c>
      <c r="C60" s="190">
        <f t="shared" si="13"/>
        <v>7.3181689237754345E-3</v>
      </c>
      <c r="D60" s="192">
        <v>43816</v>
      </c>
      <c r="E60" s="190">
        <f t="shared" si="14"/>
        <v>6.3249331938314288E-3</v>
      </c>
      <c r="F60" s="192">
        <v>38536</v>
      </c>
      <c r="G60" s="190">
        <f t="shared" si="15"/>
        <v>5.7923107285511198E-3</v>
      </c>
      <c r="H60" s="192">
        <v>38844</v>
      </c>
      <c r="I60" s="190">
        <f t="shared" si="16"/>
        <v>6.4925079760704517E-3</v>
      </c>
      <c r="J60" s="192">
        <v>38797</v>
      </c>
      <c r="K60" s="190">
        <f t="shared" si="12"/>
        <v>7.6003936838195483E-3</v>
      </c>
    </row>
    <row r="61" spans="1:11" x14ac:dyDescent="0.2">
      <c r="A61" s="193" t="s">
        <v>321</v>
      </c>
      <c r="B61" s="202">
        <v>4982155</v>
      </c>
      <c r="C61" s="195">
        <f t="shared" si="13"/>
        <v>0.61933500754938675</v>
      </c>
      <c r="D61" s="202">
        <v>4559481</v>
      </c>
      <c r="E61" s="195">
        <f t="shared" si="14"/>
        <v>0.65817082169855112</v>
      </c>
      <c r="F61" s="202">
        <v>4355584</v>
      </c>
      <c r="G61" s="195">
        <f t="shared" si="15"/>
        <v>0.65468382635212785</v>
      </c>
      <c r="H61" s="202">
        <v>3962761</v>
      </c>
      <c r="I61" s="195">
        <f t="shared" si="16"/>
        <v>0.6623483008897364</v>
      </c>
      <c r="J61" s="202">
        <v>3421578</v>
      </c>
      <c r="K61" s="195">
        <f t="shared" si="12"/>
        <v>0.67029254375070035</v>
      </c>
    </row>
    <row r="62" spans="1:11" x14ac:dyDescent="0.2">
      <c r="A62" s="36" t="s">
        <v>322</v>
      </c>
      <c r="B62" s="220">
        <v>375</v>
      </c>
      <c r="C62" s="190">
        <f t="shared" si="13"/>
        <v>4.6616499854183586E-5</v>
      </c>
      <c r="D62" s="192">
        <v>373</v>
      </c>
      <c r="E62" s="190">
        <f t="shared" si="14"/>
        <v>5.3843346752307903E-5</v>
      </c>
      <c r="F62" s="220">
        <v>371</v>
      </c>
      <c r="G62" s="190">
        <f t="shared" si="15"/>
        <v>5.57646688886357E-5</v>
      </c>
      <c r="H62" s="192">
        <v>367</v>
      </c>
      <c r="I62" s="190">
        <f t="shared" si="16"/>
        <v>6.1341530924154461E-5</v>
      </c>
      <c r="J62" s="192">
        <v>363</v>
      </c>
      <c r="K62" s="190">
        <f t="shared" si="12"/>
        <v>7.1112274331172409E-5</v>
      </c>
    </row>
    <row r="63" spans="1:11" x14ac:dyDescent="0.2">
      <c r="A63" s="36" t="s">
        <v>323</v>
      </c>
      <c r="B63" s="220">
        <v>1956160</v>
      </c>
      <c r="C63" s="190">
        <f t="shared" si="13"/>
        <v>0.24317155294602605</v>
      </c>
      <c r="D63" s="192">
        <v>1829304</v>
      </c>
      <c r="E63" s="190">
        <f t="shared" si="14"/>
        <v>0.26406393991255728</v>
      </c>
      <c r="F63" s="220">
        <v>1729312</v>
      </c>
      <c r="G63" s="190">
        <f t="shared" si="15"/>
        <v>0.25993129672545656</v>
      </c>
      <c r="H63" s="192">
        <v>1549909</v>
      </c>
      <c r="I63" s="190">
        <f t="shared" si="16"/>
        <v>0.25905665082595453</v>
      </c>
      <c r="J63" s="192">
        <v>1465697</v>
      </c>
      <c r="K63" s="190">
        <f t="shared" si="12"/>
        <v>0.28713236129580277</v>
      </c>
    </row>
    <row r="64" spans="1:11" x14ac:dyDescent="0.2">
      <c r="A64" s="36" t="s">
        <v>324</v>
      </c>
      <c r="B64" s="220">
        <v>4944656</v>
      </c>
      <c r="C64" s="190">
        <f t="shared" si="13"/>
        <v>0.61467348187463466</v>
      </c>
      <c r="D64" s="192">
        <v>4282014</v>
      </c>
      <c r="E64" s="190">
        <f t="shared" si="14"/>
        <v>0.61811786756095699</v>
      </c>
      <c r="F64" s="220">
        <v>3356102</v>
      </c>
      <c r="G64" s="190">
        <f t="shared" si="15"/>
        <v>0.50445260589349883</v>
      </c>
      <c r="H64" s="192">
        <v>2802075</v>
      </c>
      <c r="I64" s="190">
        <f t="shared" si="16"/>
        <v>0.46834760290000027</v>
      </c>
      <c r="J64" s="192">
        <v>2699119</v>
      </c>
      <c r="K64" s="190">
        <f t="shared" si="12"/>
        <v>0.52876168259085332</v>
      </c>
    </row>
    <row r="65" spans="1:11" x14ac:dyDescent="0.2">
      <c r="A65" s="36" t="s">
        <v>325</v>
      </c>
      <c r="B65" s="220">
        <v>-6657</v>
      </c>
      <c r="C65" s="190">
        <f t="shared" si="13"/>
        <v>-8.2753610541146702E-4</v>
      </c>
      <c r="D65" s="192">
        <v>-7888</v>
      </c>
      <c r="E65" s="190">
        <f t="shared" si="14"/>
        <v>-1.1386496492820503E-3</v>
      </c>
      <c r="F65" s="220">
        <v>-5354</v>
      </c>
      <c r="G65" s="190">
        <f t="shared" si="15"/>
        <v>-8.0475481733087743E-4</v>
      </c>
      <c r="H65" s="192">
        <v>-4229</v>
      </c>
      <c r="I65" s="190">
        <f t="shared" si="16"/>
        <v>-7.0684832228405778E-4</v>
      </c>
      <c r="J65" s="192">
        <v>-5363</v>
      </c>
      <c r="K65" s="190">
        <f t="shared" si="12"/>
        <v>-1.0506201852288641E-3</v>
      </c>
    </row>
    <row r="66" spans="1:11" x14ac:dyDescent="0.2">
      <c r="A66" s="36" t="s">
        <v>326</v>
      </c>
      <c r="B66" s="220">
        <v>6056985</v>
      </c>
      <c r="C66" s="190">
        <f t="shared" si="13"/>
        <v>0.75294784098477918</v>
      </c>
      <c r="D66" s="192">
        <v>4828248</v>
      </c>
      <c r="E66" s="190">
        <f t="shared" si="14"/>
        <v>0.69696791225237831</v>
      </c>
      <c r="F66" s="220">
        <v>3929147</v>
      </c>
      <c r="G66" s="190">
        <f t="shared" si="15"/>
        <v>0.59058647296435662</v>
      </c>
      <c r="H66" s="192">
        <v>3276163</v>
      </c>
      <c r="I66" s="190">
        <f t="shared" si="16"/>
        <v>0.54758815797566929</v>
      </c>
      <c r="J66" s="192">
        <v>2921448</v>
      </c>
      <c r="K66" s="190">
        <f t="shared" si="12"/>
        <v>0.57231628545524782</v>
      </c>
    </row>
    <row r="67" spans="1:11" x14ac:dyDescent="0.2">
      <c r="A67" s="36" t="s">
        <v>327</v>
      </c>
      <c r="B67" s="220">
        <v>3062207</v>
      </c>
      <c r="C67" s="190">
        <f t="shared" si="13"/>
        <v>0.38066499245061325</v>
      </c>
      <c r="D67" s="192">
        <v>2368023</v>
      </c>
      <c r="E67" s="190">
        <f t="shared" si="14"/>
        <v>0.34182917830144882</v>
      </c>
      <c r="F67" s="220">
        <v>2297374</v>
      </c>
      <c r="G67" s="190">
        <f t="shared" si="15"/>
        <v>0.34531617364787209</v>
      </c>
      <c r="H67" s="192">
        <v>2020135</v>
      </c>
      <c r="I67" s="190">
        <f t="shared" si="16"/>
        <v>0.33765169911026366</v>
      </c>
      <c r="J67" s="192">
        <v>1683026</v>
      </c>
      <c r="K67" s="190">
        <f t="shared" si="12"/>
        <v>0.32970745624929965</v>
      </c>
    </row>
    <row r="68" spans="1:11" x14ac:dyDescent="0.2">
      <c r="A68" s="193" t="s">
        <v>328</v>
      </c>
      <c r="B68" s="202">
        <v>3062207</v>
      </c>
      <c r="C68" s="195">
        <f t="shared" si="13"/>
        <v>0.38066499245061325</v>
      </c>
      <c r="D68" s="221">
        <f>D62+D63-D64-D65+D66+D67</f>
        <v>4751822</v>
      </c>
      <c r="E68" s="195">
        <f t="shared" si="14"/>
        <v>0.68593565590146177</v>
      </c>
      <c r="F68" s="221">
        <f>F62+F63-F64-F65+F66+F67</f>
        <v>4605456</v>
      </c>
      <c r="G68" s="195">
        <f t="shared" si="15"/>
        <v>0.69224185693040596</v>
      </c>
      <c r="H68" s="221">
        <f>H62+H63-H64-H65+H66+H67</f>
        <v>4048728</v>
      </c>
      <c r="I68" s="195">
        <f t="shared" si="16"/>
        <v>0.67671709486509546</v>
      </c>
      <c r="J68" s="221">
        <f>J62+J63-J64-J65+J66+J67</f>
        <v>3376778</v>
      </c>
      <c r="K68" s="195">
        <f t="shared" si="12"/>
        <v>0.66151615286905707</v>
      </c>
    </row>
    <row r="69" spans="1:11" x14ac:dyDescent="0.2">
      <c r="A69" s="182"/>
      <c r="B69" s="202"/>
      <c r="C69" s="182"/>
      <c r="D69" s="189"/>
      <c r="E69" s="182"/>
      <c r="F69" s="189"/>
      <c r="G69" s="182"/>
      <c r="H69" s="189"/>
      <c r="I69" s="222"/>
      <c r="J69" s="189"/>
      <c r="K69" s="182"/>
    </row>
    <row r="70" spans="1:11" x14ac:dyDescent="0.2">
      <c r="A70" s="198" t="s">
        <v>140</v>
      </c>
      <c r="B70" s="200">
        <v>319394</v>
      </c>
      <c r="C70" s="198"/>
      <c r="D70" s="200">
        <v>286826</v>
      </c>
      <c r="E70" s="198"/>
      <c r="F70" s="200">
        <v>254657</v>
      </c>
      <c r="G70" s="198"/>
      <c r="H70" s="200">
        <v>238534</v>
      </c>
      <c r="I70" s="198"/>
      <c r="J70" s="200">
        <v>212778</v>
      </c>
      <c r="K70" s="182"/>
    </row>
    <row r="71" spans="1:11" x14ac:dyDescent="0.2">
      <c r="A71" s="223" t="s">
        <v>141</v>
      </c>
      <c r="B71" s="224">
        <v>-560731</v>
      </c>
      <c r="C71" s="223"/>
      <c r="D71" s="224">
        <v>-479164</v>
      </c>
      <c r="E71" s="223"/>
      <c r="F71" s="224">
        <v>-442475</v>
      </c>
      <c r="G71" s="223"/>
      <c r="H71" s="224">
        <v>-373352</v>
      </c>
      <c r="I71" s="223"/>
      <c r="J71" s="224">
        <v>-333912</v>
      </c>
      <c r="K71" s="182"/>
    </row>
  </sheetData>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4A2E9-9517-457F-8A31-38EE9F5331EC}">
  <dimension ref="A4:J58"/>
  <sheetViews>
    <sheetView workbookViewId="0">
      <selection activeCell="B29" sqref="B29"/>
    </sheetView>
  </sheetViews>
  <sheetFormatPr baseColWidth="10" defaultColWidth="8.83203125" defaultRowHeight="15" x14ac:dyDescent="0.2"/>
  <cols>
    <col min="1" max="1" width="62.33203125" bestFit="1" customWidth="1"/>
    <col min="2" max="2" width="8.6640625" bestFit="1" customWidth="1"/>
    <col min="4" max="4" width="8" bestFit="1" customWidth="1"/>
    <col min="6" max="6" width="8" bestFit="1" customWidth="1"/>
    <col min="8" max="8" width="7.6640625" bestFit="1" customWidth="1"/>
    <col min="10" max="10" width="7.6640625" bestFit="1" customWidth="1"/>
  </cols>
  <sheetData>
    <row r="4" spans="1:10" x14ac:dyDescent="0.2">
      <c r="A4" s="225" t="s">
        <v>243</v>
      </c>
    </row>
    <row r="5" spans="1:10" ht="20" x14ac:dyDescent="0.2">
      <c r="A5" s="226" t="s">
        <v>244</v>
      </c>
    </row>
    <row r="7" spans="1:10" ht="16" x14ac:dyDescent="0.2">
      <c r="A7" s="227" t="s">
        <v>329</v>
      </c>
    </row>
    <row r="10" spans="1:10" x14ac:dyDescent="0.2">
      <c r="A10" s="228" t="s">
        <v>330</v>
      </c>
    </row>
    <row r="11" spans="1:10" x14ac:dyDescent="0.2">
      <c r="A11" s="229" t="s">
        <v>331</v>
      </c>
      <c r="B11" s="230">
        <v>2023</v>
      </c>
      <c r="C11" s="229"/>
      <c r="D11" s="230">
        <v>2022</v>
      </c>
      <c r="E11" s="229"/>
      <c r="F11" s="230">
        <v>2021</v>
      </c>
      <c r="G11" s="229"/>
      <c r="H11" s="230">
        <v>2020</v>
      </c>
      <c r="I11" s="229"/>
      <c r="J11" s="230">
        <v>2019</v>
      </c>
    </row>
    <row r="12" spans="1:10" x14ac:dyDescent="0.2">
      <c r="A12" s="47" t="s">
        <v>274</v>
      </c>
      <c r="B12" s="231">
        <v>1228737</v>
      </c>
      <c r="C12" s="47"/>
      <c r="D12" s="231">
        <v>899101</v>
      </c>
      <c r="E12" s="47"/>
      <c r="F12" s="231">
        <v>652984</v>
      </c>
      <c r="G12" s="47"/>
      <c r="H12" s="231">
        <v>355766</v>
      </c>
      <c r="I12" s="47"/>
      <c r="J12" s="231">
        <v>350158</v>
      </c>
    </row>
    <row r="13" spans="1:10" x14ac:dyDescent="0.2">
      <c r="A13" s="198" t="s">
        <v>140</v>
      </c>
      <c r="B13" s="200">
        <v>319394</v>
      </c>
      <c r="C13" s="198"/>
      <c r="D13" s="200">
        <v>286826</v>
      </c>
      <c r="E13" s="198"/>
      <c r="F13" s="200">
        <v>254657</v>
      </c>
      <c r="G13" s="198"/>
      <c r="H13" s="200">
        <v>238534</v>
      </c>
      <c r="I13" s="198"/>
      <c r="J13" s="200">
        <v>212778</v>
      </c>
    </row>
    <row r="14" spans="1:10" x14ac:dyDescent="0.2">
      <c r="A14" s="47" t="s">
        <v>332</v>
      </c>
      <c r="B14" s="232" t="s">
        <v>95</v>
      </c>
      <c r="C14" s="47"/>
      <c r="D14" s="232" t="s">
        <v>95</v>
      </c>
      <c r="E14" s="47"/>
      <c r="F14" s="232" t="s">
        <v>95</v>
      </c>
      <c r="G14" s="47"/>
      <c r="H14" s="231">
        <v>184538</v>
      </c>
      <c r="I14" s="47"/>
      <c r="J14" s="231">
        <v>163952</v>
      </c>
    </row>
    <row r="15" spans="1:10" x14ac:dyDescent="0.2">
      <c r="A15" s="47" t="s">
        <v>333</v>
      </c>
      <c r="B15" s="231">
        <v>-9505</v>
      </c>
      <c r="C15" s="47"/>
      <c r="D15" s="231">
        <v>-43195</v>
      </c>
      <c r="E15" s="47"/>
      <c r="F15" s="231">
        <v>-12357</v>
      </c>
      <c r="G15" s="47"/>
      <c r="H15" s="231">
        <v>108350</v>
      </c>
      <c r="I15" s="47"/>
      <c r="J15" s="231">
        <v>29962</v>
      </c>
    </row>
    <row r="16" spans="1:10" x14ac:dyDescent="0.2">
      <c r="A16" s="47" t="s">
        <v>334</v>
      </c>
      <c r="B16" s="231">
        <v>37025</v>
      </c>
      <c r="C16" s="47"/>
      <c r="D16" s="231">
        <v>20738</v>
      </c>
      <c r="E16" s="47"/>
      <c r="F16" s="231">
        <v>17086</v>
      </c>
      <c r="G16" s="47"/>
      <c r="H16" s="231">
        <v>28874</v>
      </c>
      <c r="I16" s="47"/>
      <c r="J16" s="231">
        <v>15402</v>
      </c>
    </row>
    <row r="17" spans="1:10" x14ac:dyDescent="0.2">
      <c r="A17" s="47" t="s">
        <v>335</v>
      </c>
      <c r="B17" s="232" t="s">
        <v>95</v>
      </c>
      <c r="C17" s="47"/>
      <c r="D17" s="231">
        <v>-760</v>
      </c>
      <c r="E17" s="47"/>
      <c r="F17" s="231">
        <v>493</v>
      </c>
      <c r="G17" s="47"/>
      <c r="H17" s="231">
        <v>164</v>
      </c>
      <c r="I17" s="47"/>
      <c r="J17" s="232" t="s">
        <v>95</v>
      </c>
    </row>
    <row r="18" spans="1:10" x14ac:dyDescent="0.2">
      <c r="A18" s="47" t="s">
        <v>336</v>
      </c>
      <c r="B18" s="231">
        <v>1570</v>
      </c>
      <c r="C18" s="47"/>
      <c r="D18" s="232" t="s">
        <v>95</v>
      </c>
      <c r="E18" s="47"/>
      <c r="F18" s="232" t="s">
        <v>95</v>
      </c>
      <c r="G18" s="47"/>
      <c r="H18" s="232" t="s">
        <v>95</v>
      </c>
      <c r="I18" s="47"/>
      <c r="J18" s="231">
        <v>33</v>
      </c>
    </row>
    <row r="19" spans="1:10" x14ac:dyDescent="0.2">
      <c r="A19" s="47" t="s">
        <v>337</v>
      </c>
      <c r="B19" s="231">
        <v>124016</v>
      </c>
      <c r="C19" s="47"/>
      <c r="D19" s="231">
        <v>98030</v>
      </c>
      <c r="E19" s="47"/>
      <c r="F19" s="231">
        <v>176392</v>
      </c>
      <c r="G19" s="47"/>
      <c r="H19" s="231">
        <v>82626</v>
      </c>
      <c r="I19" s="47"/>
      <c r="J19" s="231">
        <v>91396</v>
      </c>
    </row>
    <row r="20" spans="1:10" x14ac:dyDescent="0.2">
      <c r="A20" s="47" t="s">
        <v>338</v>
      </c>
      <c r="B20" s="231">
        <v>-13080</v>
      </c>
      <c r="C20" s="47"/>
      <c r="D20" s="231">
        <v>-16202</v>
      </c>
      <c r="E20" s="47"/>
      <c r="F20" s="231">
        <v>-4599</v>
      </c>
      <c r="G20" s="47"/>
      <c r="H20" s="231">
        <v>3643</v>
      </c>
      <c r="I20" s="47"/>
      <c r="J20" s="231">
        <v>-10592</v>
      </c>
    </row>
    <row r="21" spans="1:10" x14ac:dyDescent="0.2">
      <c r="A21" s="47" t="s">
        <v>339</v>
      </c>
      <c r="B21" s="231">
        <v>-11216</v>
      </c>
      <c r="C21" s="47"/>
      <c r="D21" s="231">
        <v>-14026</v>
      </c>
      <c r="E21" s="47"/>
      <c r="F21" s="231">
        <v>-1687</v>
      </c>
      <c r="G21" s="47"/>
      <c r="H21" s="231">
        <v>3010</v>
      </c>
      <c r="I21" s="47"/>
      <c r="J21" s="231">
        <v>-2630</v>
      </c>
    </row>
    <row r="22" spans="1:10" x14ac:dyDescent="0.2">
      <c r="A22" s="47" t="s">
        <v>280</v>
      </c>
      <c r="B22" s="231">
        <v>-3649</v>
      </c>
      <c r="C22" s="47"/>
      <c r="D22" s="231">
        <v>-3011</v>
      </c>
      <c r="E22" s="47"/>
      <c r="F22" s="231">
        <v>-6392</v>
      </c>
      <c r="G22" s="47"/>
      <c r="H22" s="231">
        <v>-394</v>
      </c>
      <c r="I22" s="47"/>
      <c r="J22" s="231">
        <v>-4530</v>
      </c>
    </row>
    <row r="23" spans="1:10" x14ac:dyDescent="0.2">
      <c r="A23" s="47" t="s">
        <v>281</v>
      </c>
      <c r="B23" s="231">
        <v>-39211</v>
      </c>
      <c r="C23" s="47"/>
      <c r="D23" s="232" t="s">
        <v>95</v>
      </c>
      <c r="E23" s="47"/>
      <c r="F23" s="232" t="s">
        <v>95</v>
      </c>
      <c r="G23" s="47"/>
      <c r="H23" s="232" t="s">
        <v>95</v>
      </c>
      <c r="I23" s="47"/>
      <c r="J23" s="232" t="s">
        <v>95</v>
      </c>
    </row>
    <row r="24" spans="1:10" x14ac:dyDescent="0.2">
      <c r="A24" s="47" t="s">
        <v>282</v>
      </c>
      <c r="B24" s="232" t="s">
        <v>95</v>
      </c>
      <c r="C24" s="47"/>
      <c r="D24" s="231">
        <v>-14660</v>
      </c>
      <c r="E24" s="47"/>
      <c r="F24" s="231">
        <v>-26826</v>
      </c>
      <c r="G24" s="47"/>
      <c r="H24" s="231">
        <v>-11442</v>
      </c>
      <c r="I24" s="47"/>
      <c r="J24" s="231">
        <v>-23066</v>
      </c>
    </row>
    <row r="25" spans="1:10" x14ac:dyDescent="0.2">
      <c r="A25" s="47" t="s">
        <v>301</v>
      </c>
      <c r="B25" s="231">
        <v>254241</v>
      </c>
      <c r="C25" s="47"/>
      <c r="D25" s="231">
        <v>234273</v>
      </c>
      <c r="E25" s="47"/>
      <c r="F25" s="231">
        <v>223837</v>
      </c>
      <c r="G25" s="47"/>
      <c r="H25" s="232" t="s">
        <v>95</v>
      </c>
      <c r="I25" s="47"/>
      <c r="J25" s="232" t="s">
        <v>95</v>
      </c>
    </row>
    <row r="26" spans="1:10" x14ac:dyDescent="0.2">
      <c r="A26" s="47" t="s">
        <v>299</v>
      </c>
      <c r="B26" s="231">
        <v>4204</v>
      </c>
      <c r="C26" s="47"/>
      <c r="D26" s="231">
        <v>-346</v>
      </c>
      <c r="E26" s="47"/>
      <c r="F26" s="231">
        <v>3993</v>
      </c>
      <c r="G26" s="47"/>
      <c r="H26" s="231">
        <v>-26577</v>
      </c>
      <c r="I26" s="47"/>
      <c r="J26" s="231">
        <v>2818</v>
      </c>
    </row>
    <row r="27" spans="1:10" x14ac:dyDescent="0.2">
      <c r="A27" s="47" t="s">
        <v>304</v>
      </c>
      <c r="B27" s="231">
        <v>5313</v>
      </c>
      <c r="C27" s="47"/>
      <c r="D27" s="231">
        <v>18208</v>
      </c>
      <c r="E27" s="47"/>
      <c r="F27" s="231">
        <v>21440</v>
      </c>
      <c r="G27" s="47"/>
      <c r="H27" s="231">
        <v>-3859</v>
      </c>
      <c r="I27" s="47"/>
      <c r="J27" s="231">
        <v>-973</v>
      </c>
    </row>
    <row r="28" spans="1:10" x14ac:dyDescent="0.2">
      <c r="A28" s="47" t="s">
        <v>310</v>
      </c>
      <c r="B28" s="231">
        <v>57048</v>
      </c>
      <c r="C28" s="47"/>
      <c r="D28" s="231">
        <v>9864</v>
      </c>
      <c r="E28" s="47"/>
      <c r="F28" s="231">
        <v>-44555</v>
      </c>
      <c r="G28" s="47"/>
      <c r="H28" s="231">
        <v>76683</v>
      </c>
      <c r="I28" s="47"/>
      <c r="J28" s="231">
        <v>11759</v>
      </c>
    </row>
    <row r="29" spans="1:10" x14ac:dyDescent="0.2">
      <c r="A29" s="47" t="s">
        <v>316</v>
      </c>
      <c r="B29" s="231">
        <v>3188</v>
      </c>
      <c r="C29" s="47"/>
      <c r="D29" s="231">
        <v>-27964</v>
      </c>
      <c r="E29" s="47"/>
      <c r="F29" s="231">
        <v>10997</v>
      </c>
      <c r="G29" s="47"/>
      <c r="H29" s="231">
        <v>5596</v>
      </c>
      <c r="I29" s="47"/>
      <c r="J29" s="231">
        <v>36543</v>
      </c>
    </row>
    <row r="30" spans="1:10" x14ac:dyDescent="0.2">
      <c r="A30" s="47" t="s">
        <v>317</v>
      </c>
      <c r="B30" s="232" t="s">
        <v>95</v>
      </c>
      <c r="C30" s="47"/>
      <c r="D30" s="231">
        <v>33374</v>
      </c>
      <c r="E30" s="47"/>
      <c r="F30" s="231">
        <v>34387</v>
      </c>
      <c r="G30" s="47"/>
      <c r="H30" s="231">
        <v>36958</v>
      </c>
      <c r="I30" s="47"/>
      <c r="J30" s="231">
        <v>30400</v>
      </c>
    </row>
    <row r="31" spans="1:10" x14ac:dyDescent="0.2">
      <c r="A31" s="47" t="s">
        <v>340</v>
      </c>
      <c r="B31" s="231">
        <v>-5237</v>
      </c>
      <c r="C31" s="47"/>
      <c r="D31" s="231">
        <v>46262</v>
      </c>
      <c r="E31" s="47"/>
      <c r="F31" s="231">
        <v>193379</v>
      </c>
      <c r="G31" s="47"/>
      <c r="H31" s="231">
        <v>-255251</v>
      </c>
      <c r="I31" s="47"/>
      <c r="J31" s="231">
        <v>-32083</v>
      </c>
    </row>
    <row r="32" spans="1:10" x14ac:dyDescent="0.2">
      <c r="A32" s="47" t="s">
        <v>341</v>
      </c>
      <c r="B32" s="231">
        <v>35685</v>
      </c>
      <c r="C32" s="47"/>
      <c r="D32" s="232" t="s">
        <v>95</v>
      </c>
      <c r="E32" s="47"/>
      <c r="F32" s="232" t="s">
        <v>95</v>
      </c>
      <c r="G32" s="47"/>
      <c r="H32" s="232" t="s">
        <v>95</v>
      </c>
      <c r="I32" s="47"/>
      <c r="J32" s="232" t="s">
        <v>95</v>
      </c>
    </row>
    <row r="33" spans="1:10" x14ac:dyDescent="0.2">
      <c r="A33" s="47" t="s">
        <v>342</v>
      </c>
      <c r="B33" s="231">
        <v>-214477</v>
      </c>
      <c r="C33" s="47"/>
      <c r="D33" s="231">
        <v>-207186</v>
      </c>
      <c r="E33" s="47"/>
      <c r="F33" s="231">
        <v>-207164</v>
      </c>
      <c r="G33" s="47"/>
      <c r="H33" s="231">
        <v>-165154</v>
      </c>
      <c r="I33" s="47"/>
      <c r="J33" s="231">
        <v>-151557</v>
      </c>
    </row>
    <row r="34" spans="1:10" x14ac:dyDescent="0.2">
      <c r="A34" s="47" t="s">
        <v>343</v>
      </c>
      <c r="B34" s="231">
        <v>9431</v>
      </c>
      <c r="C34" s="47"/>
      <c r="D34" s="231">
        <v>3853</v>
      </c>
      <c r="E34" s="47"/>
      <c r="F34" s="231">
        <v>-3984</v>
      </c>
      <c r="G34" s="47"/>
      <c r="H34" s="231">
        <v>1782</v>
      </c>
      <c r="I34" s="47"/>
      <c r="J34" s="231">
        <v>1862</v>
      </c>
    </row>
    <row r="35" spans="1:10" x14ac:dyDescent="0.2">
      <c r="A35" s="233" t="s">
        <v>344</v>
      </c>
      <c r="B35" s="234">
        <v>1783477</v>
      </c>
      <c r="C35" s="233"/>
      <c r="D35" s="234">
        <v>1323179</v>
      </c>
      <c r="E35" s="233"/>
      <c r="F35" s="234">
        <v>1282081</v>
      </c>
      <c r="G35" s="233"/>
      <c r="H35" s="234">
        <v>663847</v>
      </c>
      <c r="I35" s="233"/>
      <c r="J35" s="234">
        <v>721632</v>
      </c>
    </row>
    <row r="36" spans="1:10" x14ac:dyDescent="0.2">
      <c r="A36" s="223"/>
      <c r="B36" s="235"/>
      <c r="C36" s="236"/>
      <c r="D36" s="235"/>
      <c r="E36" s="236"/>
      <c r="F36" s="235"/>
      <c r="G36" s="236"/>
      <c r="H36" s="235"/>
      <c r="I36" s="236"/>
      <c r="J36" s="235"/>
    </row>
    <row r="37" spans="1:10" x14ac:dyDescent="0.2">
      <c r="A37" s="223" t="s">
        <v>141</v>
      </c>
      <c r="B37" s="224">
        <v>-560731</v>
      </c>
      <c r="C37" s="223"/>
      <c r="D37" s="224">
        <v>-479164</v>
      </c>
      <c r="E37" s="223"/>
      <c r="F37" s="224">
        <v>-442475</v>
      </c>
      <c r="G37" s="223"/>
      <c r="H37" s="224">
        <v>-373352</v>
      </c>
      <c r="I37" s="223"/>
      <c r="J37" s="224">
        <v>-333912</v>
      </c>
    </row>
    <row r="38" spans="1:10" x14ac:dyDescent="0.2">
      <c r="A38" s="47" t="s">
        <v>345</v>
      </c>
      <c r="B38" s="231">
        <v>-1115131</v>
      </c>
      <c r="C38" s="47"/>
      <c r="D38" s="231">
        <v>-614416</v>
      </c>
      <c r="E38" s="47"/>
      <c r="F38" s="231">
        <v>-429350</v>
      </c>
      <c r="G38" s="47"/>
      <c r="H38" s="231">
        <v>-468418</v>
      </c>
      <c r="I38" s="47"/>
      <c r="J38" s="231">
        <v>-448754</v>
      </c>
    </row>
    <row r="39" spans="1:10" x14ac:dyDescent="0.2">
      <c r="A39" s="47" t="s">
        <v>346</v>
      </c>
      <c r="B39" s="232" t="s">
        <v>95</v>
      </c>
      <c r="C39" s="47"/>
      <c r="D39" s="231">
        <v>263548</v>
      </c>
      <c r="E39" s="47"/>
      <c r="F39" s="231">
        <v>345748</v>
      </c>
      <c r="G39" s="47"/>
      <c r="H39" s="231">
        <v>419078</v>
      </c>
      <c r="I39" s="47"/>
      <c r="J39" s="231">
        <v>476723</v>
      </c>
    </row>
    <row r="40" spans="1:10" x14ac:dyDescent="0.2">
      <c r="A40" s="47" t="s">
        <v>347</v>
      </c>
      <c r="B40" s="232" t="s">
        <v>95</v>
      </c>
      <c r="C40" s="47"/>
      <c r="D40" s="232" t="s">
        <v>95</v>
      </c>
      <c r="E40" s="47"/>
      <c r="F40" s="231">
        <v>4035</v>
      </c>
      <c r="G40" s="47"/>
      <c r="H40" s="232" t="s">
        <v>95</v>
      </c>
      <c r="I40" s="47"/>
      <c r="J40" s="231">
        <v>13969</v>
      </c>
    </row>
    <row r="41" spans="1:10" x14ac:dyDescent="0.2">
      <c r="A41" s="47" t="s">
        <v>348</v>
      </c>
      <c r="B41" s="232" t="s">
        <v>95</v>
      </c>
      <c r="C41" s="47"/>
      <c r="D41" s="232" t="s">
        <v>95</v>
      </c>
      <c r="E41" s="47"/>
      <c r="F41" s="232" t="s">
        <v>95</v>
      </c>
      <c r="G41" s="47"/>
      <c r="H41" s="231">
        <v>-10025</v>
      </c>
      <c r="I41" s="47"/>
      <c r="J41" s="232" t="s">
        <v>95</v>
      </c>
    </row>
    <row r="42" spans="1:10" x14ac:dyDescent="0.2">
      <c r="A42" s="47" t="s">
        <v>349</v>
      </c>
      <c r="B42" s="231">
        <v>729853</v>
      </c>
      <c r="C42" s="47"/>
      <c r="D42" s="232" t="s">
        <v>95</v>
      </c>
      <c r="E42" s="47"/>
      <c r="F42" s="232" t="s">
        <v>95</v>
      </c>
      <c r="G42" s="47"/>
      <c r="H42" s="232" t="s">
        <v>95</v>
      </c>
      <c r="I42" s="47"/>
      <c r="J42" s="232" t="s">
        <v>95</v>
      </c>
    </row>
    <row r="43" spans="1:10" x14ac:dyDescent="0.2">
      <c r="A43" s="236" t="s">
        <v>350</v>
      </c>
      <c r="B43" s="235">
        <v>-946009</v>
      </c>
      <c r="C43" s="236"/>
      <c r="D43" s="235">
        <v>-830032</v>
      </c>
      <c r="E43" s="236"/>
      <c r="F43" s="235">
        <v>-522042</v>
      </c>
      <c r="G43" s="236"/>
      <c r="H43" s="235">
        <v>-432717</v>
      </c>
      <c r="I43" s="236"/>
      <c r="J43" s="235">
        <v>-291974</v>
      </c>
    </row>
    <row r="44" spans="1:10" x14ac:dyDescent="0.2">
      <c r="A44" s="236"/>
      <c r="B44" s="235"/>
      <c r="C44" s="236"/>
      <c r="D44" s="235"/>
      <c r="E44" s="236"/>
      <c r="F44" s="235"/>
      <c r="G44" s="236"/>
      <c r="H44" s="235"/>
      <c r="I44" s="236"/>
      <c r="J44" s="235"/>
    </row>
    <row r="45" spans="1:10" x14ac:dyDescent="0.2">
      <c r="A45" s="47" t="s">
        <v>351</v>
      </c>
      <c r="B45" s="231">
        <v>-592349</v>
      </c>
      <c r="C45" s="47"/>
      <c r="D45" s="231">
        <v>-830140</v>
      </c>
      <c r="E45" s="47"/>
      <c r="F45" s="231">
        <v>-466462</v>
      </c>
      <c r="G45" s="47"/>
      <c r="H45" s="231">
        <v>-54401</v>
      </c>
      <c r="I45" s="47"/>
      <c r="J45" s="231">
        <v>-190617</v>
      </c>
    </row>
    <row r="46" spans="1:10" x14ac:dyDescent="0.2">
      <c r="A46" s="47" t="s">
        <v>352</v>
      </c>
      <c r="B46" s="231">
        <v>843</v>
      </c>
      <c r="C46" s="47"/>
      <c r="D46" s="231">
        <v>-98970</v>
      </c>
      <c r="E46" s="47"/>
      <c r="F46" s="231">
        <v>-79870</v>
      </c>
      <c r="G46" s="47"/>
      <c r="H46" s="231">
        <v>-48555</v>
      </c>
      <c r="I46" s="47"/>
      <c r="J46" s="231">
        <v>-10420</v>
      </c>
    </row>
    <row r="47" spans="1:10" x14ac:dyDescent="0.2">
      <c r="A47" s="47" t="s">
        <v>353</v>
      </c>
      <c r="B47" s="232" t="s">
        <v>95</v>
      </c>
      <c r="C47" s="47"/>
      <c r="D47" s="232" t="s">
        <v>95</v>
      </c>
      <c r="E47" s="47"/>
      <c r="F47" s="232" t="s">
        <v>95</v>
      </c>
      <c r="G47" s="47"/>
      <c r="H47" s="232" t="s">
        <v>95</v>
      </c>
      <c r="I47" s="47"/>
      <c r="J47" s="231">
        <v>-698</v>
      </c>
    </row>
    <row r="48" spans="1:10" x14ac:dyDescent="0.2">
      <c r="A48" s="47" t="s">
        <v>354</v>
      </c>
      <c r="B48" s="231">
        <v>-69146</v>
      </c>
      <c r="C48" s="47"/>
      <c r="D48" s="231">
        <v>-294</v>
      </c>
      <c r="E48" s="47"/>
      <c r="F48" s="231">
        <v>-2274</v>
      </c>
      <c r="G48" s="47"/>
      <c r="H48" s="231">
        <v>-1895</v>
      </c>
      <c r="I48" s="47"/>
      <c r="J48" s="232" t="s">
        <v>95</v>
      </c>
    </row>
    <row r="49" spans="1:10" x14ac:dyDescent="0.2">
      <c r="A49" s="233" t="s">
        <v>355</v>
      </c>
      <c r="B49" s="234">
        <v>-660652</v>
      </c>
      <c r="C49" s="233"/>
      <c r="D49" s="234">
        <v>-929404</v>
      </c>
      <c r="E49" s="233"/>
      <c r="F49" s="234">
        <v>-548606</v>
      </c>
      <c r="G49" s="233"/>
      <c r="H49" s="234">
        <v>-104851</v>
      </c>
      <c r="I49" s="233"/>
      <c r="J49" s="234">
        <v>-201735</v>
      </c>
    </row>
    <row r="50" spans="1:10" x14ac:dyDescent="0.2">
      <c r="A50" s="236"/>
      <c r="B50" s="235"/>
      <c r="C50" s="236"/>
      <c r="D50" s="235"/>
      <c r="E50" s="236"/>
      <c r="F50" s="235"/>
      <c r="G50" s="236"/>
      <c r="H50" s="235"/>
      <c r="I50" s="236"/>
      <c r="J50" s="235"/>
    </row>
    <row r="51" spans="1:10" x14ac:dyDescent="0.2">
      <c r="A51" s="47" t="s">
        <v>356</v>
      </c>
      <c r="B51" s="231">
        <v>381</v>
      </c>
      <c r="C51" s="47"/>
      <c r="D51" s="231">
        <v>-1007</v>
      </c>
      <c r="E51" s="47"/>
      <c r="F51" s="231">
        <v>-1039</v>
      </c>
      <c r="G51" s="47"/>
      <c r="H51" s="231">
        <v>1076</v>
      </c>
      <c r="I51" s="47"/>
      <c r="J51" s="231">
        <v>406</v>
      </c>
    </row>
    <row r="52" spans="1:10" x14ac:dyDescent="0.2">
      <c r="A52" s="47"/>
      <c r="B52" s="231"/>
      <c r="C52" s="47"/>
      <c r="D52" s="231"/>
      <c r="E52" s="47"/>
      <c r="F52" s="231"/>
      <c r="G52" s="47"/>
      <c r="H52" s="231"/>
      <c r="I52" s="47"/>
      <c r="J52" s="231"/>
    </row>
    <row r="53" spans="1:10" x14ac:dyDescent="0.2">
      <c r="A53" s="236" t="s">
        <v>357</v>
      </c>
      <c r="B53" s="235">
        <v>177197</v>
      </c>
      <c r="C53" s="236"/>
      <c r="D53" s="235">
        <v>-437264</v>
      </c>
      <c r="E53" s="236"/>
      <c r="F53" s="235">
        <v>210394</v>
      </c>
      <c r="G53" s="236"/>
      <c r="H53" s="235">
        <v>127355</v>
      </c>
      <c r="I53" s="236"/>
      <c r="J53" s="235">
        <v>228329</v>
      </c>
    </row>
    <row r="54" spans="1:10" x14ac:dyDescent="0.2">
      <c r="A54" s="236"/>
      <c r="B54" s="235"/>
      <c r="C54" s="236"/>
      <c r="D54" s="235"/>
      <c r="E54" s="236"/>
      <c r="F54" s="235"/>
      <c r="G54" s="236"/>
      <c r="H54" s="235"/>
      <c r="I54" s="236"/>
      <c r="J54" s="235"/>
    </row>
    <row r="55" spans="1:10" x14ac:dyDescent="0.2">
      <c r="A55" s="236"/>
      <c r="B55" s="235"/>
      <c r="C55" s="236"/>
      <c r="D55" s="235"/>
      <c r="E55" s="236"/>
      <c r="F55" s="235"/>
      <c r="G55" s="236"/>
      <c r="H55" s="235"/>
      <c r="I55" s="236"/>
      <c r="J55" s="235"/>
    </row>
    <row r="56" spans="1:10" x14ac:dyDescent="0.2">
      <c r="A56" s="236" t="s">
        <v>358</v>
      </c>
      <c r="B56" s="235">
        <v>408966</v>
      </c>
      <c r="C56" s="236"/>
      <c r="D56" s="235">
        <v>846230</v>
      </c>
      <c r="E56" s="236"/>
      <c r="F56" s="235">
        <v>635836</v>
      </c>
      <c r="G56" s="236"/>
      <c r="H56" s="235">
        <v>508481</v>
      </c>
      <c r="I56" s="236"/>
      <c r="J56" s="235">
        <v>280152</v>
      </c>
    </row>
    <row r="57" spans="1:10" x14ac:dyDescent="0.2">
      <c r="A57" s="236" t="s">
        <v>359</v>
      </c>
      <c r="B57" s="235">
        <v>586163</v>
      </c>
      <c r="C57" s="236"/>
      <c r="D57" s="235">
        <v>408966</v>
      </c>
      <c r="E57" s="236"/>
      <c r="F57" s="235">
        <v>846230</v>
      </c>
      <c r="G57" s="236"/>
      <c r="H57" s="235">
        <v>635836</v>
      </c>
      <c r="I57" s="236"/>
      <c r="J57" s="235">
        <v>508481</v>
      </c>
    </row>
    <row r="58" spans="1:10" x14ac:dyDescent="0.2">
      <c r="A58" s="236" t="s">
        <v>360</v>
      </c>
      <c r="B58" s="235">
        <v>400229</v>
      </c>
      <c r="C58" s="236"/>
      <c r="D58" s="235">
        <v>275796</v>
      </c>
      <c r="E58" s="236"/>
      <c r="F58" s="235">
        <v>-17831</v>
      </c>
      <c r="G58" s="236"/>
      <c r="H58" s="235">
        <v>85010</v>
      </c>
      <c r="I58" s="236"/>
      <c r="J58" s="235">
        <v>109571</v>
      </c>
    </row>
  </sheetData>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c783c180-aa5e-408e-9560-51d57beecf2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0B13F66D651CF44B818428E8D5BFC90" ma:contentTypeVersion="9" ma:contentTypeDescription="Create a new document." ma:contentTypeScope="" ma:versionID="ab5a81e63a58827f792c5724e1539a7d">
  <xsd:schema xmlns:xsd="http://www.w3.org/2001/XMLSchema" xmlns:xs="http://www.w3.org/2001/XMLSchema" xmlns:p="http://schemas.microsoft.com/office/2006/metadata/properties" xmlns:ns3="4a311ff1-b17b-4030-9a44-b61c8dbf67e0" xmlns:ns4="c783c180-aa5e-408e-9560-51d57beecf24" targetNamespace="http://schemas.microsoft.com/office/2006/metadata/properties" ma:root="true" ma:fieldsID="3a0afdafd2086946eb91fa97cfa31644" ns3:_="" ns4:_="">
    <xsd:import namespace="4a311ff1-b17b-4030-9a44-b61c8dbf67e0"/>
    <xsd:import namespace="c783c180-aa5e-408e-9560-51d57beecf24"/>
    <xsd:element name="properties">
      <xsd:complexType>
        <xsd:sequence>
          <xsd:element name="documentManagement">
            <xsd:complexType>
              <xsd:all>
                <xsd:element ref="ns3:SharedWithUsers" minOccurs="0"/>
                <xsd:element ref="ns3:SharedWithDetails" minOccurs="0"/>
                <xsd:element ref="ns3:SharingHintHash" minOccurs="0"/>
                <xsd:element ref="ns4:_activity" minOccurs="0"/>
                <xsd:element ref="ns4:MediaServiceMetadata" minOccurs="0"/>
                <xsd:element ref="ns4:MediaServiceFastMetadata" minOccurs="0"/>
                <xsd:element ref="ns4:MediaServiceSearchProperties" minOccurs="0"/>
                <xsd:element ref="ns4:MediaServiceObjectDetectorVersions"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311ff1-b17b-4030-9a44-b61c8dbf67e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783c180-aa5e-408e-9560-51d57beecf24" elementFormDefault="qualified">
    <xsd:import namespace="http://schemas.microsoft.com/office/2006/documentManagement/types"/>
    <xsd:import namespace="http://schemas.microsoft.com/office/infopath/2007/PartnerControls"/>
    <xsd:element name="_activity" ma:index="11"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CD0AB9-A784-4303-A3FC-1E2A594A5619}">
  <ds:schemaRefs>
    <ds:schemaRef ds:uri="http://schemas.microsoft.com/sharepoint/v3/contenttype/forms"/>
  </ds:schemaRefs>
</ds:datastoreItem>
</file>

<file path=customXml/itemProps2.xml><?xml version="1.0" encoding="utf-8"?>
<ds:datastoreItem xmlns:ds="http://schemas.openxmlformats.org/officeDocument/2006/customXml" ds:itemID="{C01CCFB5-764A-4179-9BBA-F48319E31F7B}">
  <ds:schemaRefs>
    <ds:schemaRef ds:uri="http://schemas.microsoft.com/office/2006/metadata/properties"/>
    <ds:schemaRef ds:uri="http://schemas.microsoft.com/office/infopath/2007/PartnerControls"/>
    <ds:schemaRef ds:uri="c783c180-aa5e-408e-9560-51d57beecf24"/>
  </ds:schemaRefs>
</ds:datastoreItem>
</file>

<file path=customXml/itemProps3.xml><?xml version="1.0" encoding="utf-8"?>
<ds:datastoreItem xmlns:ds="http://schemas.openxmlformats.org/officeDocument/2006/customXml" ds:itemID="{6DF82140-5680-4EDC-8F64-BDFE725A6A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311ff1-b17b-4030-9a44-b61c8dbf67e0"/>
    <ds:schemaRef ds:uri="c783c180-aa5e-408e-9560-51d57beecf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CMG_Chart</vt:lpstr>
      <vt:lpstr>CMG_Comps</vt:lpstr>
      <vt:lpstr>CMG_Comps (2)</vt:lpstr>
      <vt:lpstr>Possible_Comps</vt:lpstr>
      <vt:lpstr>Selecting_Comps</vt:lpstr>
      <vt:lpstr>CMG_DCF</vt:lpstr>
      <vt:lpstr>CMG_IS</vt:lpstr>
      <vt:lpstr>CMG_BS</vt:lpstr>
      <vt:lpstr>CMG_CFS</vt:lpstr>
      <vt:lpstr>Option_Value</vt:lpstr>
      <vt:lpstr>CMG_LTM</vt:lpstr>
      <vt:lpstr>CAVA_LTM</vt:lpstr>
      <vt:lpstr>SHAK_LTM</vt:lpstr>
      <vt:lpstr>YUM_LTM</vt:lpstr>
      <vt:lpstr>SG_LTM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 Finby</dc:creator>
  <cp:keywords/>
  <dc:description/>
  <cp:lastModifiedBy>Mora-Perez, Octavio</cp:lastModifiedBy>
  <cp:revision/>
  <dcterms:created xsi:type="dcterms:W3CDTF">2024-04-16T23:05:53Z</dcterms:created>
  <dcterms:modified xsi:type="dcterms:W3CDTF">2025-05-06T23:29:47Z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0x010100D0B13F66D651CF44B818428E8D5BFC90</vt:lpwstr>
  </property>
</Properties>
</file>